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.Tsvetkov.SOYUZ\Desktop\сайт\цены для сайта\номера\"/>
    </mc:Choice>
  </mc:AlternateContent>
  <bookViews>
    <workbookView xWindow="0" yWindow="675" windowWidth="15300" windowHeight="8070" firstSheet="7" activeTab="7"/>
  </bookViews>
  <sheets>
    <sheet name="расчет программ НГ, НК 2016" sheetId="31" state="hidden" r:id="rId1"/>
    <sheet name="расчет НГ, Рож., НК 2016" sheetId="34" state="hidden" r:id="rId2"/>
    <sheet name="утв. нг,нк, рожд.2016" sheetId="39" state="hidden" r:id="rId3"/>
    <sheet name="Низкий сезон будние" sheetId="60" r:id="rId4"/>
    <sheet name="Низкий сезон выходные" sheetId="54" r:id="rId5"/>
    <sheet name="средний сезон будние" sheetId="62" r:id="rId6"/>
    <sheet name="средний сезон выходные" sheetId="61" r:id="rId7"/>
    <sheet name="высокий сезон будние" sheetId="64" r:id="rId8"/>
    <sheet name="высокий сезон выходные" sheetId="63" r:id="rId9"/>
  </sheets>
  <definedNames>
    <definedName name="_xlnm.Print_Area" localSheetId="0">'расчет программ НГ, НК 2016'!$A$1:$M$69</definedName>
    <definedName name="_xlnm.Print_Area" localSheetId="2">'утв. нг,нк, рожд.2016'!$A$1:$I$56</definedName>
  </definedNames>
  <calcPr calcId="152511" fullPrecision="0"/>
</workbook>
</file>

<file path=xl/calcChain.xml><?xml version="1.0" encoding="utf-8"?>
<calcChain xmlns="http://schemas.openxmlformats.org/spreadsheetml/2006/main">
  <c r="F43" i="39" l="1"/>
  <c r="P43" i="39"/>
  <c r="H43" i="39"/>
  <c r="R43" i="39"/>
  <c r="D43" i="39"/>
  <c r="N43" i="39"/>
  <c r="I42" i="39"/>
  <c r="S42" i="39"/>
  <c r="H42" i="39"/>
  <c r="R42" i="39"/>
  <c r="E42" i="39"/>
  <c r="O42" i="39"/>
  <c r="D42" i="39"/>
  <c r="N42" i="39"/>
  <c r="G42" i="39"/>
  <c r="Q42" i="39"/>
  <c r="F42" i="39"/>
  <c r="P42" i="39"/>
  <c r="I41" i="39"/>
  <c r="S41" i="39"/>
  <c r="H41" i="39"/>
  <c r="R41" i="39"/>
  <c r="E41" i="39"/>
  <c r="O41" i="39"/>
  <c r="D41" i="39"/>
  <c r="N41" i="39"/>
  <c r="G41" i="39"/>
  <c r="Q41" i="39"/>
  <c r="F41" i="39"/>
  <c r="P41" i="39"/>
  <c r="L39" i="39"/>
  <c r="H38" i="39"/>
  <c r="R38" i="39"/>
  <c r="F38" i="39"/>
  <c r="D38" i="39"/>
  <c r="N38" i="39"/>
  <c r="H37" i="39"/>
  <c r="R37" i="39"/>
  <c r="D37" i="39"/>
  <c r="N37" i="39"/>
  <c r="I37" i="39"/>
  <c r="S37" i="39"/>
  <c r="M37" i="39"/>
  <c r="G37" i="39"/>
  <c r="Q37" i="39"/>
  <c r="F37" i="39"/>
  <c r="P37" i="39"/>
  <c r="E37" i="39"/>
  <c r="O37" i="39"/>
  <c r="M36" i="39"/>
  <c r="L36" i="39"/>
  <c r="K36" i="39"/>
  <c r="M35" i="39"/>
  <c r="L35" i="39"/>
  <c r="K35" i="39"/>
  <c r="I34" i="39"/>
  <c r="S34" i="39"/>
  <c r="E34" i="39"/>
  <c r="O34" i="39"/>
  <c r="D34" i="39"/>
  <c r="K34" i="39"/>
  <c r="H34" i="39"/>
  <c r="R34" i="39"/>
  <c r="G34" i="39"/>
  <c r="Q34" i="39"/>
  <c r="F34" i="39"/>
  <c r="L34" i="39"/>
  <c r="N34" i="39"/>
  <c r="S33" i="39"/>
  <c r="R33" i="39"/>
  <c r="Q33" i="39"/>
  <c r="P33" i="39"/>
  <c r="O33" i="39"/>
  <c r="N33" i="39"/>
  <c r="M33" i="39"/>
  <c r="L33" i="39"/>
  <c r="K33" i="39"/>
  <c r="I32" i="39"/>
  <c r="S32" i="39"/>
  <c r="E32" i="39"/>
  <c r="O32" i="39"/>
  <c r="D32" i="39"/>
  <c r="K32" i="39"/>
  <c r="H32" i="39"/>
  <c r="R32" i="39"/>
  <c r="G32" i="39"/>
  <c r="Q32" i="39"/>
  <c r="F32" i="39"/>
  <c r="L32" i="39"/>
  <c r="N32" i="39"/>
  <c r="M31" i="39"/>
  <c r="L31" i="39"/>
  <c r="K31" i="39"/>
  <c r="M30" i="39"/>
  <c r="L30" i="39"/>
  <c r="K30" i="39"/>
  <c r="M29" i="39"/>
  <c r="L29" i="39"/>
  <c r="K29" i="39"/>
  <c r="I28" i="39"/>
  <c r="S28" i="39"/>
  <c r="E28" i="39"/>
  <c r="O28" i="39"/>
  <c r="D28" i="39"/>
  <c r="K28" i="39"/>
  <c r="H28" i="39"/>
  <c r="R28" i="39"/>
  <c r="G28" i="39"/>
  <c r="Q28" i="39"/>
  <c r="F28" i="39"/>
  <c r="P28" i="39"/>
  <c r="N28" i="39"/>
  <c r="H27" i="39"/>
  <c r="R27" i="39"/>
  <c r="D27" i="39"/>
  <c r="N27" i="39"/>
  <c r="I27" i="39"/>
  <c r="S27" i="39"/>
  <c r="M27" i="39"/>
  <c r="G27" i="39"/>
  <c r="Q27" i="39"/>
  <c r="F27" i="39"/>
  <c r="P27" i="39"/>
  <c r="E27" i="39"/>
  <c r="O27" i="39"/>
  <c r="R26" i="39"/>
  <c r="G26" i="39"/>
  <c r="Q26" i="39"/>
  <c r="P26" i="39"/>
  <c r="N26" i="39"/>
  <c r="I26" i="39"/>
  <c r="S26" i="39"/>
  <c r="E26" i="39"/>
  <c r="O26" i="39"/>
  <c r="P32" i="39"/>
  <c r="K27" i="39"/>
  <c r="P34" i="39"/>
  <c r="P38" i="39"/>
  <c r="M28" i="39"/>
  <c r="L28" i="39"/>
  <c r="K37" i="39"/>
  <c r="G38" i="39"/>
  <c r="Q38" i="39"/>
  <c r="L27" i="39"/>
  <c r="M32" i="39"/>
  <c r="M34" i="39"/>
  <c r="L37" i="39"/>
  <c r="I38" i="39"/>
  <c r="M38" i="39"/>
  <c r="E38" i="39"/>
  <c r="S38" i="39"/>
  <c r="K38" i="39"/>
  <c r="O38" i="39"/>
  <c r="L38" i="39"/>
  <c r="C11" i="34"/>
  <c r="C25" i="34"/>
  <c r="C26" i="34"/>
  <c r="D23" i="34"/>
  <c r="D25" i="34"/>
  <c r="D26" i="34"/>
  <c r="E23" i="34"/>
  <c r="E25" i="34"/>
  <c r="E26" i="34"/>
  <c r="F24" i="34"/>
  <c r="F25" i="34"/>
  <c r="F26" i="34"/>
  <c r="C31" i="34"/>
  <c r="J55" i="34"/>
  <c r="J50" i="34"/>
  <c r="J52" i="34"/>
  <c r="C48" i="34"/>
  <c r="C47" i="34"/>
  <c r="C42" i="34"/>
  <c r="C45" i="34"/>
  <c r="D38" i="34"/>
  <c r="D39" i="34"/>
  <c r="D37" i="34"/>
  <c r="D35" i="34"/>
  <c r="M25" i="34"/>
  <c r="M26" i="34"/>
  <c r="M29" i="34"/>
  <c r="M27" i="34"/>
  <c r="M30" i="34"/>
  <c r="M59" i="34"/>
  <c r="M58" i="34"/>
  <c r="C27" i="34"/>
  <c r="C58" i="34"/>
  <c r="C29" i="34"/>
  <c r="K24" i="34"/>
  <c r="K25" i="34"/>
  <c r="K27" i="34"/>
  <c r="K58" i="34"/>
  <c r="J24" i="34"/>
  <c r="J25" i="34"/>
  <c r="J27" i="34"/>
  <c r="J58" i="34"/>
  <c r="G24" i="34"/>
  <c r="G25" i="34"/>
  <c r="G27" i="34"/>
  <c r="G58" i="34"/>
  <c r="F27" i="34"/>
  <c r="F58" i="34"/>
  <c r="L24" i="34"/>
  <c r="L25" i="34"/>
  <c r="I24" i="34"/>
  <c r="I25" i="34"/>
  <c r="H24" i="34"/>
  <c r="H25" i="34"/>
  <c r="K26" i="34"/>
  <c r="K29" i="34"/>
  <c r="K30" i="34"/>
  <c r="G26" i="34"/>
  <c r="C30" i="34"/>
  <c r="C59" i="34"/>
  <c r="J53" i="34"/>
  <c r="O52" i="34"/>
  <c r="J56" i="34"/>
  <c r="D29" i="34"/>
  <c r="D27" i="34"/>
  <c r="D58" i="34"/>
  <c r="H27" i="34"/>
  <c r="H58" i="34"/>
  <c r="H26" i="34"/>
  <c r="H29" i="34"/>
  <c r="L26" i="34"/>
  <c r="L29" i="34"/>
  <c r="L27" i="34"/>
  <c r="L58" i="34"/>
  <c r="E29" i="34"/>
  <c r="E27" i="34"/>
  <c r="E58" i="34"/>
  <c r="I26" i="34"/>
  <c r="I27" i="34"/>
  <c r="I58" i="34"/>
  <c r="C68" i="34"/>
  <c r="J26" i="34"/>
  <c r="J29" i="34"/>
  <c r="I24" i="31"/>
  <c r="I25" i="31"/>
  <c r="I26" i="31"/>
  <c r="J24" i="31"/>
  <c r="J25" i="31"/>
  <c r="J26" i="31"/>
  <c r="C33" i="31"/>
  <c r="I29" i="31"/>
  <c r="I59" i="31"/>
  <c r="J29" i="31"/>
  <c r="J50" i="31"/>
  <c r="J52" i="31"/>
  <c r="J59" i="31"/>
  <c r="C69" i="31"/>
  <c r="F24" i="31"/>
  <c r="F25" i="31"/>
  <c r="F26" i="31"/>
  <c r="G24" i="31"/>
  <c r="G25" i="31"/>
  <c r="G26" i="31"/>
  <c r="H24" i="31"/>
  <c r="H25" i="31"/>
  <c r="H26" i="31"/>
  <c r="K24" i="31"/>
  <c r="K25" i="31"/>
  <c r="K26" i="31"/>
  <c r="L24" i="31"/>
  <c r="L25" i="31"/>
  <c r="L26" i="31"/>
  <c r="M25" i="31"/>
  <c r="M26" i="31"/>
  <c r="C32" i="31"/>
  <c r="K59" i="34"/>
  <c r="C64" i="34"/>
  <c r="G29" i="34"/>
  <c r="C32" i="34"/>
  <c r="C61" i="34"/>
  <c r="J30" i="34"/>
  <c r="J59" i="34"/>
  <c r="E59" i="34"/>
  <c r="E30" i="34"/>
  <c r="L30" i="34"/>
  <c r="L59" i="34"/>
  <c r="D30" i="34"/>
  <c r="D59" i="34"/>
  <c r="C62" i="34"/>
  <c r="H30" i="34"/>
  <c r="H59" i="34"/>
  <c r="F29" i="34"/>
  <c r="C33" i="34"/>
  <c r="I29" i="34"/>
  <c r="O26" i="34"/>
  <c r="I27" i="31"/>
  <c r="I58" i="31"/>
  <c r="J27" i="31"/>
  <c r="J58" i="31"/>
  <c r="C68" i="31"/>
  <c r="M29" i="31"/>
  <c r="M59" i="31"/>
  <c r="K29" i="31"/>
  <c r="K59" i="31"/>
  <c r="H29" i="31"/>
  <c r="H59" i="31"/>
  <c r="G29" i="31"/>
  <c r="G59" i="31"/>
  <c r="F29" i="31"/>
  <c r="F59" i="31"/>
  <c r="F27" i="31"/>
  <c r="F58" i="31"/>
  <c r="E23" i="31"/>
  <c r="E25" i="31"/>
  <c r="D23" i="31"/>
  <c r="D25" i="31"/>
  <c r="C11" i="31"/>
  <c r="C25" i="31"/>
  <c r="G30" i="34"/>
  <c r="G59" i="34"/>
  <c r="I59" i="34"/>
  <c r="C69" i="34"/>
  <c r="I30" i="34"/>
  <c r="F30" i="34"/>
  <c r="F59" i="34"/>
  <c r="E26" i="31"/>
  <c r="O26" i="31"/>
  <c r="C26" i="31"/>
  <c r="D26" i="31"/>
  <c r="C65" i="34"/>
  <c r="O52" i="31"/>
  <c r="C31" i="31"/>
  <c r="D38" i="31"/>
  <c r="D39" i="31"/>
  <c r="D37" i="31"/>
  <c r="D35" i="31"/>
  <c r="C47" i="31"/>
  <c r="J55" i="31"/>
  <c r="C42" i="31"/>
  <c r="C45" i="31"/>
  <c r="C48" i="31"/>
  <c r="J53" i="31"/>
  <c r="J56" i="31"/>
  <c r="G27" i="31"/>
  <c r="G58" i="31"/>
  <c r="K27" i="31"/>
  <c r="K58" i="31"/>
  <c r="D27" i="31"/>
  <c r="D58" i="31"/>
  <c r="E27" i="31"/>
  <c r="E58" i="31"/>
  <c r="H27" i="31"/>
  <c r="H58" i="31"/>
  <c r="L27" i="31"/>
  <c r="L58" i="31"/>
  <c r="M27" i="31"/>
  <c r="M58" i="31"/>
  <c r="C64" i="31"/>
  <c r="F30" i="31"/>
  <c r="H30" i="31"/>
  <c r="K30" i="31"/>
  <c r="G30" i="31"/>
  <c r="L29" i="31"/>
  <c r="L59" i="31"/>
  <c r="C65" i="31"/>
  <c r="E29" i="31"/>
  <c r="E59" i="31"/>
  <c r="D29" i="31"/>
  <c r="D59" i="31"/>
  <c r="J30" i="31"/>
  <c r="E30" i="31"/>
  <c r="D30" i="31"/>
  <c r="L30" i="31"/>
  <c r="I30" i="31"/>
  <c r="C27" i="31"/>
  <c r="C58" i="31"/>
  <c r="C61" i="31"/>
  <c r="C29" i="31"/>
  <c r="C59" i="31"/>
  <c r="M30" i="31"/>
  <c r="C30" i="31"/>
  <c r="C62" i="31"/>
  <c r="C67" i="31"/>
  <c r="D67" i="31"/>
  <c r="C67" i="34"/>
  <c r="D67" i="34"/>
</calcChain>
</file>

<file path=xl/sharedStrings.xml><?xml version="1.0" encoding="utf-8"?>
<sst xmlns="http://schemas.openxmlformats.org/spreadsheetml/2006/main" count="314" uniqueCount="120">
  <si>
    <t>Главный бухгалтер</t>
  </si>
  <si>
    <t>Е.А. Головкова</t>
  </si>
  <si>
    <t>Т.В. Барковская</t>
  </si>
  <si>
    <t>1.</t>
  </si>
  <si>
    <t>2.</t>
  </si>
  <si>
    <t>3.</t>
  </si>
  <si>
    <t>4.</t>
  </si>
  <si>
    <t>5.</t>
  </si>
  <si>
    <t>№ п/п</t>
  </si>
  <si>
    <t>Корпус №5</t>
  </si>
  <si>
    <t>Фейерверк</t>
  </si>
  <si>
    <t>Новогодний огонек -певица Наталья гулькина, группа "Плейер Бит"</t>
  </si>
  <si>
    <t>Интерактивный спектакль "Новогодний утренник для детей"</t>
  </si>
  <si>
    <t>Концерт артиста Юрия Гальцева</t>
  </si>
  <si>
    <t>Спектакль истринского драматического театра</t>
  </si>
  <si>
    <t>Спектакль Московского театра русской драмы</t>
  </si>
  <si>
    <t>Концерт ансамбля "Штар"</t>
  </si>
  <si>
    <t>Концерт артистки Елены Воробей</t>
  </si>
  <si>
    <t>Рождественский спектакль московского театра Русской драмы</t>
  </si>
  <si>
    <t>Цирковое представление</t>
  </si>
  <si>
    <t>Концерт артистов Московского театра оперетты "12 Мюзиклов"</t>
  </si>
  <si>
    <t>Итого культурно-развлекательная программа  с учетом наценки</t>
  </si>
  <si>
    <t>Стоимость культурно-развлекательной  программы на 1 чел. без наценки  и без НДС</t>
  </si>
  <si>
    <t>Планируемое количество человек</t>
  </si>
  <si>
    <t>в том числе</t>
  </si>
  <si>
    <t xml:space="preserve">Расчет дополнительной стоимости праздничных, культурно-развлекательных программ  </t>
  </si>
  <si>
    <t>"Филиал публичного акционерного общества "Газпром" Пансионат "Союз"</t>
  </si>
  <si>
    <t>Новогодний банкет в ночь с 31.12.2015 на 01.01.2016 (набор продуктов питания, спиртное) на 1 чел., без учета НДС</t>
  </si>
  <si>
    <t>Стоимость культурно-развлекательной  программы на 1 чел.с учетом наценки, без учета  НДС</t>
  </si>
  <si>
    <t>Рождественский обед 07.01.2016 (набор продуктов питания, спиртное) на 1 чел., без учета НДС</t>
  </si>
  <si>
    <t>Рождественский обед 07.01.2016 на 1чел., без учета НДС</t>
  </si>
  <si>
    <t>Новогодние подарки в номерах на 1 чел.</t>
  </si>
  <si>
    <t xml:space="preserve">Наименование </t>
  </si>
  <si>
    <t>Стоимость, руб.</t>
  </si>
  <si>
    <t>Новогодний банкет в ночь с 31.12.2014 на 01.01.2015 (набор продуктов питания, спиртное) на 1 чел., без учета НДС</t>
  </si>
  <si>
    <t>Новогодний банкет в ночь с 31.12.2014 на 01.01.2015 на 1 чел., без учета НДС</t>
  </si>
  <si>
    <t>индекс 2016 к 2015</t>
  </si>
  <si>
    <t>Рождественский обед 07.01.2015 (набор продуктов питания, спиртное) на 1 чел., без учета НДС</t>
  </si>
  <si>
    <t>Рождественский обед 07.01.2015 на 1чел., без учета НДС</t>
  </si>
  <si>
    <r>
      <t>Новогодний банкет в ночь с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31.12.2015 на 01.01.2016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 1 чел., без учета НДС</t>
    </r>
  </si>
  <si>
    <t>Итого культурно-развлекательная программа без учета наценки</t>
  </si>
  <si>
    <t>Дополнительная стоимость  праздничной программы  с учетом банкета, культурно-развлекательных мероприятий, с учётом наценки на культурно-развлекательную программу на 1 чел., без НДС</t>
  </si>
  <si>
    <t>Шампанское "Советское", бут.</t>
  </si>
  <si>
    <t>Конфеты "Рафаэлло" упак. 150г</t>
  </si>
  <si>
    <t>Новогодние подарки в номерах на 1 чел.,  без наценки</t>
  </si>
  <si>
    <t>Дополнительная стоимость  праздничной программы  с учетом банкета, культурно-развлекательных мероприятий на 1чел., без учета наценки, без НДС</t>
  </si>
  <si>
    <t>Призы и сувениры 20 000 руб. : 2дн.</t>
  </si>
  <si>
    <t>Призы и сувениры 30 000 руб. : 8дн.</t>
  </si>
  <si>
    <r>
      <t>Дополнительная стоимость к базовым тарифам на</t>
    </r>
    <r>
      <rPr>
        <b/>
        <sz val="12"/>
        <color theme="1"/>
        <rFont val="Times New Roman"/>
        <family val="1"/>
        <charset val="204"/>
      </rPr>
      <t xml:space="preserve"> "Рождество Христово"</t>
    </r>
    <r>
      <rPr>
        <sz val="12"/>
        <color theme="1"/>
        <rFont val="Times New Roman"/>
        <family val="1"/>
        <charset val="204"/>
      </rPr>
      <t xml:space="preserve"> с </t>
    </r>
    <r>
      <rPr>
        <b/>
        <sz val="12"/>
        <color theme="1"/>
        <rFont val="Times New Roman"/>
        <family val="1"/>
        <charset val="204"/>
      </rPr>
      <t>06.01.2016 по 08.01.2016</t>
    </r>
    <r>
      <rPr>
        <sz val="12"/>
        <color theme="1"/>
        <rFont val="Times New Roman"/>
        <family val="1"/>
        <charset val="204"/>
      </rPr>
      <t xml:space="preserve">  в сутки на 1 чел. </t>
    </r>
    <r>
      <rPr>
        <b/>
        <sz val="12"/>
        <color theme="1"/>
        <rFont val="Times New Roman"/>
        <family val="1"/>
        <charset val="204"/>
      </rPr>
      <t>Без учета наценки</t>
    </r>
  </si>
  <si>
    <r>
      <t xml:space="preserve">Дополнительная стоимость к базовым тарифам на </t>
    </r>
    <r>
      <rPr>
        <b/>
        <sz val="12"/>
        <color theme="1"/>
        <rFont val="Times New Roman"/>
        <family val="1"/>
        <charset val="204"/>
      </rPr>
      <t>"Рождество Христово"</t>
    </r>
    <r>
      <rPr>
        <sz val="12"/>
        <color theme="1"/>
        <rFont val="Times New Roman"/>
        <family val="1"/>
        <charset val="204"/>
      </rPr>
      <t xml:space="preserve"> с </t>
    </r>
    <r>
      <rPr>
        <b/>
        <sz val="12"/>
        <color theme="1"/>
        <rFont val="Times New Roman"/>
        <family val="1"/>
        <charset val="204"/>
      </rPr>
      <t>06.01.2016 по 08.01.2016</t>
    </r>
    <r>
      <rPr>
        <sz val="12"/>
        <color theme="1"/>
        <rFont val="Times New Roman"/>
        <family val="1"/>
        <charset val="204"/>
      </rPr>
      <t xml:space="preserve">   в сутки на 1 чел. </t>
    </r>
    <r>
      <rPr>
        <b/>
        <sz val="12"/>
        <color theme="1"/>
        <rFont val="Times New Roman"/>
        <family val="1"/>
        <charset val="204"/>
      </rPr>
      <t>С учётом наценки</t>
    </r>
  </si>
  <si>
    <r>
      <t xml:space="preserve">Стоимость культурно-развлекательной  программы на 1 чел.с учётом наценки, без учета  НДС </t>
    </r>
    <r>
      <rPr>
        <b/>
        <sz val="12"/>
        <color theme="1"/>
        <rFont val="Times New Roman"/>
        <family val="1"/>
        <charset val="204"/>
      </rPr>
      <t xml:space="preserve">Новый год с 31.12.2015 по 02.01.2016 </t>
    </r>
    <r>
      <rPr>
        <sz val="12"/>
        <color theme="1"/>
        <rFont val="Times New Roman"/>
        <family val="1"/>
        <charset val="204"/>
      </rPr>
      <t xml:space="preserve"> в сутки на 1 чел.</t>
    </r>
  </si>
  <si>
    <r>
      <t xml:space="preserve">Стоимость культурно-развлекательной  программы на 1 чел.с учётом наценки, без учета  НДС </t>
    </r>
    <r>
      <rPr>
        <b/>
        <sz val="12"/>
        <color theme="1"/>
        <rFont val="Times New Roman"/>
        <family val="1"/>
        <charset val="204"/>
      </rPr>
      <t>Новогодние каникулы с  02.01.2016 по 10.01.2016</t>
    </r>
    <r>
      <rPr>
        <sz val="12"/>
        <color theme="1"/>
        <rFont val="Times New Roman"/>
        <family val="1"/>
        <charset val="204"/>
      </rPr>
      <t xml:space="preserve">  в сутки на 1 чел.</t>
    </r>
  </si>
  <si>
    <r>
      <t>Стоимость культурно-развлекательной  программы на 1 чел.с учётом наценки, без учета  НДС</t>
    </r>
    <r>
      <rPr>
        <b/>
        <sz val="12"/>
        <color theme="1"/>
        <rFont val="Times New Roman"/>
        <family val="1"/>
        <charset val="204"/>
      </rPr>
      <t xml:space="preserve"> "Рождество Христово" с 06.01.2016 по 08.01.2016</t>
    </r>
    <r>
      <rPr>
        <sz val="12"/>
        <color theme="1"/>
        <rFont val="Times New Roman"/>
        <family val="1"/>
        <charset val="204"/>
      </rPr>
      <t xml:space="preserve">  в сутки на 1 чел.</t>
    </r>
  </si>
  <si>
    <t>Наценка на культурно-развлекательную программу, %</t>
  </si>
  <si>
    <r>
      <t xml:space="preserve">Дополнительная стоимость к базовым тарифам на </t>
    </r>
    <r>
      <rPr>
        <b/>
        <sz val="12"/>
        <color theme="1"/>
        <rFont val="Times New Roman"/>
        <family val="1"/>
        <charset val="204"/>
      </rPr>
      <t xml:space="preserve">Новогодний </t>
    </r>
    <r>
      <rPr>
        <sz val="12"/>
        <color theme="1"/>
        <rFont val="Times New Roman"/>
        <family val="1"/>
        <charset val="204"/>
      </rPr>
      <t xml:space="preserve">заезд с </t>
    </r>
    <r>
      <rPr>
        <b/>
        <sz val="12"/>
        <color theme="1"/>
        <rFont val="Times New Roman"/>
        <family val="1"/>
        <charset val="204"/>
      </rPr>
      <t>31.12.2015 по 02.01.2016</t>
    </r>
    <r>
      <rPr>
        <sz val="12"/>
        <color theme="1"/>
        <rFont val="Times New Roman"/>
        <family val="1"/>
        <charset val="204"/>
      </rPr>
      <t xml:space="preserve">  в сутки на 1 чел. </t>
    </r>
    <r>
      <rPr>
        <b/>
        <sz val="12"/>
        <color theme="1"/>
        <rFont val="Times New Roman"/>
        <family val="1"/>
        <charset val="204"/>
      </rPr>
      <t>Без учета наценки</t>
    </r>
  </si>
  <si>
    <r>
      <t xml:space="preserve">Дополнительная стоимость к базовым тарифам на </t>
    </r>
    <r>
      <rPr>
        <b/>
        <sz val="12"/>
        <color theme="1"/>
        <rFont val="Times New Roman"/>
        <family val="1"/>
        <charset val="204"/>
      </rPr>
      <t>Новогодний заезд</t>
    </r>
    <r>
      <rPr>
        <sz val="12"/>
        <color theme="1"/>
        <rFont val="Times New Roman"/>
        <family val="1"/>
        <charset val="204"/>
      </rPr>
      <t xml:space="preserve"> с </t>
    </r>
    <r>
      <rPr>
        <b/>
        <sz val="12"/>
        <color theme="1"/>
        <rFont val="Times New Roman"/>
        <family val="1"/>
        <charset val="204"/>
      </rPr>
      <t>31.12.2015 по 02.01.2016</t>
    </r>
    <r>
      <rPr>
        <sz val="12"/>
        <color theme="1"/>
        <rFont val="Times New Roman"/>
        <family val="1"/>
        <charset val="204"/>
      </rPr>
      <t xml:space="preserve">  в сутки на 1 чел. </t>
    </r>
    <r>
      <rPr>
        <b/>
        <sz val="12"/>
        <color theme="1"/>
        <rFont val="Times New Roman"/>
        <family val="1"/>
        <charset val="204"/>
      </rPr>
      <t>С учётом наценки</t>
    </r>
  </si>
  <si>
    <r>
      <t xml:space="preserve">Дополнительная стоимость к базовым тарифам на </t>
    </r>
    <r>
      <rPr>
        <b/>
        <sz val="12"/>
        <color theme="1"/>
        <rFont val="Times New Roman"/>
        <family val="1"/>
        <charset val="204"/>
      </rPr>
      <t>Новогодние каникулы</t>
    </r>
    <r>
      <rPr>
        <sz val="12"/>
        <color theme="1"/>
        <rFont val="Times New Roman"/>
        <family val="1"/>
        <charset val="204"/>
      </rPr>
      <t xml:space="preserve"> с </t>
    </r>
    <r>
      <rPr>
        <b/>
        <sz val="12"/>
        <color theme="1"/>
        <rFont val="Times New Roman"/>
        <family val="1"/>
        <charset val="204"/>
      </rPr>
      <t>02.01.2016 по 10.01.2016</t>
    </r>
    <r>
      <rPr>
        <sz val="12"/>
        <color theme="1"/>
        <rFont val="Times New Roman"/>
        <family val="1"/>
        <charset val="204"/>
      </rPr>
      <t xml:space="preserve">  в сутки на 1 чел. </t>
    </r>
    <r>
      <rPr>
        <b/>
        <sz val="12"/>
        <color theme="1"/>
        <rFont val="Times New Roman"/>
        <family val="1"/>
        <charset val="204"/>
      </rPr>
      <t>Без учета наценки</t>
    </r>
  </si>
  <si>
    <r>
      <t xml:space="preserve">Дополнительная стоимость к базовым тарифам на </t>
    </r>
    <r>
      <rPr>
        <b/>
        <sz val="12"/>
        <color theme="1"/>
        <rFont val="Times New Roman"/>
        <family val="1"/>
        <charset val="204"/>
      </rPr>
      <t>Новогодние каникулы</t>
    </r>
    <r>
      <rPr>
        <sz val="12"/>
        <color theme="1"/>
        <rFont val="Times New Roman"/>
        <family val="1"/>
        <charset val="204"/>
      </rPr>
      <t xml:space="preserve"> с </t>
    </r>
    <r>
      <rPr>
        <b/>
        <sz val="12"/>
        <color theme="1"/>
        <rFont val="Times New Roman"/>
        <family val="1"/>
        <charset val="204"/>
      </rPr>
      <t>02.01.2016 по 10.01.2016</t>
    </r>
    <r>
      <rPr>
        <sz val="12"/>
        <color theme="1"/>
        <rFont val="Times New Roman"/>
        <family val="1"/>
        <charset val="204"/>
      </rPr>
      <t xml:space="preserve">   в сутки на 1 чел. </t>
    </r>
    <r>
      <rPr>
        <b/>
        <sz val="12"/>
        <color theme="1"/>
        <rFont val="Times New Roman"/>
        <family val="1"/>
        <charset val="204"/>
      </rPr>
      <t>С учётом наценки</t>
    </r>
  </si>
  <si>
    <t>Новогодний огонек - группа "Плейер Бит"</t>
  </si>
  <si>
    <t>Призы и сувениры 50 000 руб. : 2дн.</t>
  </si>
  <si>
    <r>
      <t xml:space="preserve">Стоимость культурно-развлекательной  программы на 1 чел.с учётом наценки, без учета  НДС </t>
    </r>
    <r>
      <rPr>
        <b/>
        <sz val="12"/>
        <color theme="1"/>
        <rFont val="Times New Roman"/>
        <family val="1"/>
        <charset val="204"/>
      </rPr>
      <t xml:space="preserve">Новый год с 31.12.2015 по 03.01.2016 </t>
    </r>
    <r>
      <rPr>
        <sz val="12"/>
        <color theme="1"/>
        <rFont val="Times New Roman"/>
        <family val="1"/>
        <charset val="204"/>
      </rPr>
      <t xml:space="preserve"> в сутки на 1 чел.</t>
    </r>
  </si>
  <si>
    <t>Рождественский обед/ ужин 07.01.2015 на 1чел., без учета НДС</t>
  </si>
  <si>
    <t>Рождественский вечер "Кавер -группа"</t>
  </si>
  <si>
    <t xml:space="preserve">Цены на  услуги филиала ПАО «Газпром» «Пансионат «Союз» по организации отдыха, оформленные путевками  </t>
  </si>
  <si>
    <t>Классификация  номера</t>
  </si>
  <si>
    <t xml:space="preserve">Суточная стоимость  номера (без НДС), (рублей),  в  том  числе:         </t>
  </si>
  <si>
    <r>
      <t>Тариф "</t>
    </r>
    <r>
      <rPr>
        <b/>
        <sz val="12"/>
        <rFont val="Times New Roman"/>
        <family val="1"/>
        <charset val="204"/>
      </rPr>
      <t>Новый год"</t>
    </r>
    <r>
      <rPr>
        <sz val="12"/>
        <rFont val="Times New Roman"/>
        <family val="1"/>
        <charset val="204"/>
      </rPr>
      <t xml:space="preserve"> период действия: </t>
    </r>
    <r>
      <rPr>
        <b/>
        <sz val="12"/>
        <rFont val="Times New Roman"/>
        <family val="1"/>
        <charset val="204"/>
      </rPr>
      <t>с 31.12.2015 по 03.01.2016</t>
    </r>
    <r>
      <rPr>
        <sz val="12"/>
        <rFont val="Times New Roman"/>
        <family val="1"/>
        <charset val="204"/>
      </rPr>
      <t xml:space="preserve"> </t>
    </r>
  </si>
  <si>
    <r>
      <t>Тариф  "</t>
    </r>
    <r>
      <rPr>
        <b/>
        <sz val="12"/>
        <rFont val="Times New Roman"/>
        <family val="1"/>
        <charset val="204"/>
      </rPr>
      <t>Новогодние каникулы"</t>
    </r>
    <r>
      <rPr>
        <sz val="12"/>
        <rFont val="Times New Roman"/>
        <family val="1"/>
        <charset val="204"/>
      </rPr>
      <t xml:space="preserve"> период действия: </t>
    </r>
    <r>
      <rPr>
        <b/>
        <sz val="12"/>
        <rFont val="Times New Roman"/>
        <family val="1"/>
        <charset val="204"/>
      </rPr>
      <t>с 03.01.2016 по 06.01.2016</t>
    </r>
    <r>
      <rPr>
        <sz val="12"/>
        <rFont val="Times New Roman"/>
        <family val="1"/>
        <charset val="204"/>
      </rPr>
      <t xml:space="preserve"> </t>
    </r>
  </si>
  <si>
    <r>
      <t>Тариф "</t>
    </r>
    <r>
      <rPr>
        <b/>
        <sz val="12"/>
        <rFont val="Times New Roman"/>
        <family val="1"/>
        <charset val="204"/>
      </rPr>
      <t>Рождество"</t>
    </r>
    <r>
      <rPr>
        <sz val="12"/>
        <rFont val="Times New Roman"/>
        <family val="1"/>
        <charset val="204"/>
      </rPr>
      <t xml:space="preserve"> период действия: </t>
    </r>
    <r>
      <rPr>
        <b/>
        <sz val="12"/>
        <rFont val="Times New Roman"/>
        <family val="1"/>
        <charset val="204"/>
      </rPr>
      <t xml:space="preserve">с 06.01.2016 по 10.01.2016 </t>
    </r>
  </si>
  <si>
    <t>2 чел.</t>
  </si>
  <si>
    <t>1 чел.</t>
  </si>
  <si>
    <r>
      <rPr>
        <b/>
        <sz val="12"/>
        <rFont val="Times New Roman"/>
        <family val="1"/>
        <charset val="204"/>
      </rPr>
      <t>standard single - стандарт 1мест.</t>
    </r>
    <r>
      <rPr>
        <sz val="12"/>
        <rFont val="Times New Roman"/>
        <family val="1"/>
        <charset val="204"/>
      </rPr>
      <t xml:space="preserve"> (</t>
    </r>
    <r>
      <rPr>
        <i/>
        <sz val="10"/>
        <rFont val="Times New Roman"/>
        <family val="1"/>
        <charset val="204"/>
      </rPr>
      <t>стандартная комната с одноместной кроватью)</t>
    </r>
  </si>
  <si>
    <r>
      <rPr>
        <b/>
        <sz val="12"/>
        <rFont val="Times New Roman"/>
        <family val="1"/>
        <charset val="204"/>
      </rPr>
      <t xml:space="preserve">standard twin - стандарт 2-х мест. </t>
    </r>
    <r>
      <rPr>
        <i/>
        <sz val="10"/>
        <rFont val="Times New Roman"/>
        <family val="1"/>
        <charset val="204"/>
      </rPr>
      <t>(стандартная комната с двумя одноместными кроватями)</t>
    </r>
  </si>
  <si>
    <r>
      <rPr>
        <b/>
        <sz val="12"/>
        <rFont val="Times New Roman"/>
        <family val="1"/>
        <charset val="204"/>
      </rPr>
      <t xml:space="preserve">family studio econom - семейный номер эконом класса </t>
    </r>
    <r>
      <rPr>
        <sz val="12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(номер для семьи, состоящий из двух  комнат)</t>
    </r>
  </si>
  <si>
    <t>Корпуса № 1 - №4</t>
  </si>
  <si>
    <r>
      <rPr>
        <b/>
        <sz val="12"/>
        <rFont val="Times New Roman"/>
        <family val="1"/>
        <charset val="204"/>
      </rPr>
      <t>standard double - стандарт 2-х мест.</t>
    </r>
    <r>
      <rPr>
        <sz val="12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(стандартная комната с двуспальной кроватью)</t>
    </r>
  </si>
  <si>
    <r>
      <rPr>
        <b/>
        <sz val="12"/>
        <rFont val="Times New Roman"/>
        <family val="1"/>
        <charset val="204"/>
      </rPr>
      <t xml:space="preserve">family studio - семейный номер </t>
    </r>
    <r>
      <rPr>
        <i/>
        <sz val="10"/>
        <rFont val="Times New Roman"/>
        <family val="1"/>
        <charset val="204"/>
      </rPr>
      <t>(номер для семьи, состоящий из двух  комнат)</t>
    </r>
  </si>
  <si>
    <r>
      <rPr>
        <b/>
        <sz val="12"/>
        <rFont val="Times New Roman"/>
        <family val="1"/>
        <charset val="204"/>
      </rPr>
      <t xml:space="preserve">de luxe - люкс  </t>
    </r>
    <r>
      <rPr>
        <i/>
        <sz val="10"/>
        <rFont val="Times New Roman"/>
        <family val="1"/>
        <charset val="204"/>
      </rPr>
      <t>(2-х мест. однокомнатный номер большого размера с более дорогой обстановкой)</t>
    </r>
    <r>
      <rPr>
        <i/>
        <sz val="12"/>
        <rFont val="Times New Roman"/>
        <family val="1"/>
        <charset val="204"/>
      </rPr>
      <t xml:space="preserve">
 </t>
    </r>
  </si>
  <si>
    <t xml:space="preserve">2 варианта продажи номера </t>
  </si>
  <si>
    <r>
      <rPr>
        <b/>
        <sz val="12"/>
        <rFont val="Times New Roman"/>
        <family val="1"/>
        <charset val="204"/>
      </rPr>
      <t xml:space="preserve">apartment QDPL  - апартаменты 4-х мест. </t>
    </r>
    <r>
      <rPr>
        <sz val="12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(трехкомнатный номер, приближенный к виду современных квартир)</t>
    </r>
  </si>
  <si>
    <r>
      <rPr>
        <b/>
        <sz val="12"/>
        <rFont val="Times New Roman"/>
        <family val="1"/>
        <charset val="204"/>
      </rPr>
      <t xml:space="preserve"> luxe - люкс </t>
    </r>
    <r>
      <rPr>
        <sz val="12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(номер с гостиной и спальней)</t>
    </r>
  </si>
  <si>
    <r>
      <rPr>
        <b/>
        <sz val="12"/>
        <rFont val="Times New Roman"/>
        <family val="1"/>
        <charset val="204"/>
      </rPr>
      <t xml:space="preserve">family  luxe QDPL  - семейный люкс 4-х мест. 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номер с гостиной и спальней повышенной комфортности)</t>
    </r>
  </si>
  <si>
    <t>Дополнительное место (1чел.)</t>
  </si>
  <si>
    <t>Примечание:</t>
  </si>
  <si>
    <t>В стоимость  путевки  включено:</t>
  </si>
  <si>
    <r>
      <t>тариф "Новый год"</t>
    </r>
    <r>
      <rPr>
        <sz val="12"/>
        <rFont val="Times New Roman"/>
        <family val="1"/>
        <charset val="204"/>
      </rPr>
      <t xml:space="preserve">  - проживание, трехразовое  питание, новогодний банкет, культурно-развлекательная программа, бассейн, тренажёрный зал, детская комната.</t>
    </r>
  </si>
  <si>
    <r>
      <t>тариф "Новогодние каникулы"</t>
    </r>
    <r>
      <rPr>
        <sz val="12"/>
        <rFont val="Times New Roman"/>
        <family val="1"/>
        <charset val="204"/>
      </rPr>
      <t xml:space="preserve">  - проживание, трехразовое  питание, культурно-развлекательная программа, бассейн, тренажёрный зал, детская комната.</t>
    </r>
  </si>
  <si>
    <r>
      <t>тариф "Рождество"</t>
    </r>
    <r>
      <rPr>
        <sz val="12"/>
        <rFont val="Times New Roman"/>
        <family val="1"/>
        <charset val="204"/>
      </rPr>
      <t xml:space="preserve">  - проживание, трехразовое  питание, рождественский банкет, культурно-развлекательная программа, бассейн, тренажёрный зал, детская комната.</t>
    </r>
  </si>
  <si>
    <t>При  бронировании  мест  оплата  производится  в  размере   стоимости   одних суток проживания соответствующего  номера.</t>
  </si>
  <si>
    <t>719-63-18</t>
  </si>
  <si>
    <t>Утверждены приказом филиала ПАО «Газпром» «Пансионат «Союз»</t>
  </si>
  <si>
    <t xml:space="preserve"> от «___» ____________ 2015 г. №_____</t>
  </si>
  <si>
    <t>Категория номера</t>
  </si>
  <si>
    <t>2 чел</t>
  </si>
  <si>
    <t>1 чел</t>
  </si>
  <si>
    <t>дети от 12 лет и взрослые</t>
  </si>
  <si>
    <t>Дети от 3 до 6 лет (не включительно)</t>
  </si>
  <si>
    <t xml:space="preserve">Стоимость номера за сутки, руб. (НДС не облагается) </t>
  </si>
  <si>
    <t>с 9:00 до 23:00 для лиц старше 12 лет</t>
  </si>
  <si>
    <t>с 9:00 до 23:00 для детей от 3-х до 12 лет</t>
  </si>
  <si>
    <t>дети от 6 до 12 лет (не включительно)</t>
  </si>
  <si>
    <t>бесплатно</t>
  </si>
  <si>
    <t>Номера категории "Люкс"</t>
  </si>
  <si>
    <t>Номера категории "Джуниор Сюит"</t>
  </si>
  <si>
    <t>Номера "Первая Категория"</t>
  </si>
  <si>
    <t>Дополнительное место на 1 чел. (НДС не облагается)</t>
  </si>
  <si>
    <t>Дети  до 3 лет (не включительно)</t>
  </si>
  <si>
    <t>Гостевое посещение "Ультра все включено" без проживания в номере  на 1 чел., в том числе НДС</t>
  </si>
  <si>
    <t>Standard single - cтандарт одноместный</t>
  </si>
  <si>
    <t>Standard - cтандартный номер</t>
  </si>
  <si>
    <t xml:space="preserve"> Standard + - стандартный номер улучшенный</t>
  </si>
  <si>
    <t>Comfort - номер повышенной комфортности</t>
  </si>
  <si>
    <t>Family studio - семейный номер</t>
  </si>
  <si>
    <t>Family studio + - семейный номер улучшенный</t>
  </si>
  <si>
    <t xml:space="preserve">De luxe - делюкс  </t>
  </si>
  <si>
    <t>Luxe - люкс с двумя раздельными комнатами</t>
  </si>
  <si>
    <t>Luxe CR - люкс с двумя смежными комнатами</t>
  </si>
  <si>
    <t>Family luxe - семейный люкс</t>
  </si>
  <si>
    <t xml:space="preserve"> Животное весом до 6 кг</t>
  </si>
  <si>
    <t>Проживание в номере с домашним животным, за 1 жив. в сутки (НДС не облагается)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</si>
</sst>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35" xfId="0" applyFont="1" applyBorder="1"/>
    <xf numFmtId="0" fontId="9" fillId="0" borderId="35" xfId="0" applyFont="1" applyBorder="1"/>
    <xf numFmtId="0" fontId="4" fillId="0" borderId="0" xfId="0" applyFont="1" applyAlignment="1">
      <alignment wrapText="1"/>
    </xf>
    <xf numFmtId="3" fontId="5" fillId="0" borderId="0" xfId="0" applyNumberFormat="1" applyFont="1"/>
    <xf numFmtId="0" fontId="5" fillId="0" borderId="0" xfId="0" applyFont="1" applyAlignment="1">
      <alignment wrapText="1"/>
    </xf>
    <xf numFmtId="0" fontId="9" fillId="0" borderId="0" xfId="0" applyFont="1"/>
    <xf numFmtId="3" fontId="3" fillId="0" borderId="0" xfId="0" applyNumberFormat="1" applyFont="1"/>
    <xf numFmtId="165" fontId="5" fillId="0" borderId="0" xfId="0" applyNumberFormat="1" applyFont="1"/>
    <xf numFmtId="1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35" xfId="0" applyFont="1" applyBorder="1" applyAlignment="1">
      <alignment wrapText="1"/>
    </xf>
    <xf numFmtId="3" fontId="4" fillId="0" borderId="35" xfId="0" applyNumberFormat="1" applyFont="1" applyBorder="1" applyAlignment="1">
      <alignment horizontal="center"/>
    </xf>
    <xf numFmtId="3" fontId="5" fillId="0" borderId="35" xfId="0" applyNumberFormat="1" applyFont="1" applyBorder="1"/>
    <xf numFmtId="0" fontId="5" fillId="0" borderId="35" xfId="0" applyFont="1" applyBorder="1" applyAlignment="1">
      <alignment wrapText="1"/>
    </xf>
    <xf numFmtId="3" fontId="9" fillId="0" borderId="35" xfId="0" applyNumberFormat="1" applyFont="1" applyBorder="1"/>
    <xf numFmtId="0" fontId="3" fillId="0" borderId="35" xfId="0" applyFont="1" applyBorder="1" applyAlignment="1">
      <alignment wrapText="1"/>
    </xf>
    <xf numFmtId="3" fontId="3" fillId="0" borderId="35" xfId="0" applyNumberFormat="1" applyFont="1" applyBorder="1"/>
    <xf numFmtId="0" fontId="9" fillId="0" borderId="35" xfId="0" applyFont="1" applyBorder="1" applyAlignment="1">
      <alignment wrapText="1"/>
    </xf>
    <xf numFmtId="3" fontId="5" fillId="0" borderId="35" xfId="0" applyNumberFormat="1" applyFont="1" applyBorder="1" applyAlignment="1">
      <alignment horizontal="center"/>
    </xf>
    <xf numFmtId="165" fontId="5" fillId="0" borderId="35" xfId="0" applyNumberFormat="1" applyFont="1" applyBorder="1"/>
    <xf numFmtId="0" fontId="4" fillId="0" borderId="35" xfId="0" applyFont="1" applyBorder="1" applyAlignment="1">
      <alignment horizontal="center"/>
    </xf>
    <xf numFmtId="166" fontId="9" fillId="0" borderId="0" xfId="0" applyNumberFormat="1" applyFont="1"/>
    <xf numFmtId="164" fontId="5" fillId="0" borderId="0" xfId="0" applyNumberFormat="1" applyFont="1"/>
    <xf numFmtId="3" fontId="5" fillId="0" borderId="0" xfId="0" applyNumberFormat="1" applyFont="1" applyBorder="1"/>
    <xf numFmtId="4" fontId="5" fillId="0" borderId="0" xfId="0" applyNumberFormat="1" applyFont="1" applyAlignment="1">
      <alignment horizontal="center"/>
    </xf>
    <xf numFmtId="0" fontId="9" fillId="4" borderId="35" xfId="0" applyFont="1" applyFill="1" applyBorder="1" applyAlignment="1">
      <alignment wrapText="1"/>
    </xf>
    <xf numFmtId="165" fontId="5" fillId="4" borderId="0" xfId="0" applyNumberFormat="1" applyFont="1" applyFill="1"/>
    <xf numFmtId="3" fontId="5" fillId="4" borderId="0" xfId="0" applyNumberFormat="1" applyFont="1" applyFill="1"/>
    <xf numFmtId="165" fontId="9" fillId="4" borderId="35" xfId="0" applyNumberFormat="1" applyFont="1" applyFill="1" applyBorder="1"/>
    <xf numFmtId="0" fontId="9" fillId="2" borderId="35" xfId="0" applyFont="1" applyFill="1" applyBorder="1" applyAlignment="1">
      <alignment wrapText="1"/>
    </xf>
    <xf numFmtId="0" fontId="5" fillId="2" borderId="0" xfId="0" applyFont="1" applyFill="1"/>
    <xf numFmtId="165" fontId="9" fillId="2" borderId="0" xfId="0" applyNumberFormat="1" applyFont="1" applyFill="1"/>
    <xf numFmtId="3" fontId="1" fillId="0" borderId="0" xfId="0" applyNumberFormat="1" applyFont="1"/>
    <xf numFmtId="4" fontId="5" fillId="0" borderId="35" xfId="0" applyNumberFormat="1" applyFont="1" applyBorder="1"/>
    <xf numFmtId="4" fontId="1" fillId="0" borderId="35" xfId="0" applyNumberFormat="1" applyFont="1" applyBorder="1"/>
    <xf numFmtId="3" fontId="2" fillId="0" borderId="35" xfId="0" applyNumberFormat="1" applyFont="1" applyBorder="1"/>
    <xf numFmtId="3" fontId="1" fillId="0" borderId="35" xfId="0" applyNumberFormat="1" applyFont="1" applyBorder="1"/>
    <xf numFmtId="165" fontId="9" fillId="2" borderId="35" xfId="0" applyNumberFormat="1" applyFont="1" applyFill="1" applyBorder="1"/>
    <xf numFmtId="0" fontId="4" fillId="0" borderId="0" xfId="0" applyFont="1" applyAlignment="1">
      <alignment horizontal="center"/>
    </xf>
    <xf numFmtId="0" fontId="12" fillId="0" borderId="0" xfId="0" applyFont="1"/>
    <xf numFmtId="0" fontId="13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5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/>
    <xf numFmtId="0" fontId="7" fillId="0" borderId="0" xfId="0" applyFont="1"/>
    <xf numFmtId="0" fontId="16" fillId="0" borderId="0" xfId="0" applyFont="1"/>
    <xf numFmtId="1" fontId="16" fillId="0" borderId="0" xfId="0" applyNumberFormat="1" applyFont="1"/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9" xfId="0" applyFont="1" applyBorder="1"/>
    <xf numFmtId="0" fontId="11" fillId="0" borderId="20" xfId="0" applyFon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2" fillId="0" borderId="0" xfId="0" applyNumberFormat="1" applyFont="1"/>
    <xf numFmtId="3" fontId="15" fillId="0" borderId="0" xfId="0" applyNumberFormat="1" applyFont="1"/>
    <xf numFmtId="3" fontId="15" fillId="4" borderId="0" xfId="0" applyNumberFormat="1" applyFont="1" applyFill="1"/>
    <xf numFmtId="0" fontId="11" fillId="0" borderId="9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0" fontId="15" fillId="0" borderId="0" xfId="0" applyFont="1"/>
    <xf numFmtId="0" fontId="14" fillId="0" borderId="7" xfId="0" applyFont="1" applyBorder="1"/>
    <xf numFmtId="0" fontId="11" fillId="0" borderId="0" xfId="0" applyFont="1" applyBorder="1" applyAlignment="1">
      <alignment horizontal="left"/>
    </xf>
    <xf numFmtId="3" fontId="15" fillId="0" borderId="7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/>
    <xf numFmtId="3" fontId="11" fillId="0" borderId="7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/>
    <xf numFmtId="3" fontId="15" fillId="0" borderId="15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vertical="distributed" wrapText="1"/>
    </xf>
    <xf numFmtId="3" fontId="11" fillId="0" borderId="3" xfId="0" applyNumberFormat="1" applyFont="1" applyBorder="1" applyAlignment="1">
      <alignment horizontal="center"/>
    </xf>
    <xf numFmtId="0" fontId="14" fillId="0" borderId="2" xfId="0" applyFont="1" applyBorder="1" applyAlignment="1">
      <alignment wrapText="1"/>
    </xf>
    <xf numFmtId="3" fontId="11" fillId="3" borderId="9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11" fillId="3" borderId="3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0" fontId="14" fillId="0" borderId="0" xfId="0" applyFont="1" applyBorder="1"/>
    <xf numFmtId="0" fontId="11" fillId="0" borderId="7" xfId="0" applyFont="1" applyBorder="1"/>
    <xf numFmtId="0" fontId="14" fillId="0" borderId="8" xfId="0" applyFont="1" applyBorder="1"/>
    <xf numFmtId="0" fontId="14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3" fontId="12" fillId="4" borderId="0" xfId="0" applyNumberFormat="1" applyFont="1" applyFill="1"/>
    <xf numFmtId="0" fontId="11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14" fontId="4" fillId="0" borderId="36" xfId="0" applyNumberFormat="1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14" fontId="4" fillId="0" borderId="37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11" fillId="0" borderId="34" xfId="0" applyNumberFormat="1" applyFont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4" fillId="0" borderId="3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3" fontId="12" fillId="4" borderId="0" xfId="0" applyNumberFormat="1" applyFont="1" applyFill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left" vertical="distributed" wrapText="1"/>
    </xf>
    <xf numFmtId="0" fontId="14" fillId="0" borderId="14" xfId="0" applyFont="1" applyBorder="1" applyAlignment="1">
      <alignment horizontal="left" vertical="distributed" wrapText="1"/>
    </xf>
    <xf numFmtId="0" fontId="14" fillId="0" borderId="14" xfId="0" applyFont="1" applyBorder="1" applyAlignment="1">
      <alignment horizontal="left" wrapText="1"/>
    </xf>
    <xf numFmtId="0" fontId="11" fillId="0" borderId="40" xfId="0" applyFont="1" applyBorder="1" applyAlignment="1">
      <alignment horizontal="left" vertical="distributed" wrapText="1"/>
    </xf>
    <xf numFmtId="0" fontId="11" fillId="0" borderId="18" xfId="0" applyFont="1" applyBorder="1" applyAlignment="1">
      <alignment horizontal="left" vertical="distributed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S69"/>
  <sheetViews>
    <sheetView workbookViewId="0">
      <pane xSplit="2" ySplit="10" topLeftCell="C62" activePane="bottomRight" state="frozen"/>
      <selection pane="topRight" activeCell="C1" sqref="C1"/>
      <selection pane="bottomLeft" activeCell="A11" sqref="A11"/>
      <selection pane="bottomRight" activeCell="A4" sqref="A4:M4"/>
    </sheetView>
  </sheetViews>
  <sheetFormatPr defaultColWidth="8.85546875" defaultRowHeight="15" x14ac:dyDescent="0.25"/>
  <cols>
    <col min="1" max="1" width="8.85546875" style="1"/>
    <col min="2" max="2" width="45.85546875" style="1" customWidth="1"/>
    <col min="3" max="3" width="11.5703125" style="1" customWidth="1"/>
    <col min="4" max="4" width="11" style="1" bestFit="1" customWidth="1"/>
    <col min="5" max="5" width="11.28515625" style="1" customWidth="1"/>
    <col min="6" max="6" width="11" style="1" bestFit="1" customWidth="1"/>
    <col min="7" max="7" width="12.7109375" style="1" customWidth="1"/>
    <col min="8" max="8" width="11.7109375" style="1" customWidth="1"/>
    <col min="9" max="9" width="11.28515625" style="1" customWidth="1"/>
    <col min="10" max="11" width="11.85546875" style="1" customWidth="1"/>
    <col min="12" max="12" width="11.42578125" style="1" customWidth="1"/>
    <col min="13" max="13" width="11.85546875" style="1" customWidth="1"/>
    <col min="14" max="14" width="8.85546875" style="1"/>
    <col min="15" max="15" width="12.7109375" style="1" customWidth="1"/>
    <col min="16" max="16384" width="8.85546875" style="1"/>
  </cols>
  <sheetData>
    <row r="1" spans="1:19" ht="13.9" hidden="1" x14ac:dyDescent="0.25"/>
    <row r="2" spans="1:19" ht="13.9" hidden="1" x14ac:dyDescent="0.25"/>
    <row r="3" spans="1:19" ht="21.6" customHeight="1" x14ac:dyDescent="0.3">
      <c r="B3" s="127" t="s">
        <v>25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9" ht="18" customHeight="1" x14ac:dyDescent="0.3">
      <c r="A4" s="127" t="s">
        <v>26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9" ht="7.15" customHeigh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9" ht="18" customHeight="1" x14ac:dyDescent="0.3">
      <c r="B6" s="15" t="s">
        <v>23</v>
      </c>
      <c r="C6" s="16">
        <v>201</v>
      </c>
      <c r="D6" s="16">
        <v>201</v>
      </c>
      <c r="E6" s="16">
        <v>201</v>
      </c>
      <c r="F6" s="16">
        <v>201</v>
      </c>
      <c r="G6" s="16">
        <v>201</v>
      </c>
      <c r="H6" s="16">
        <v>201</v>
      </c>
      <c r="I6" s="16">
        <v>201</v>
      </c>
      <c r="J6" s="16">
        <v>201</v>
      </c>
      <c r="K6" s="16">
        <v>201</v>
      </c>
      <c r="L6" s="16">
        <v>201</v>
      </c>
      <c r="M6" s="16">
        <v>201</v>
      </c>
    </row>
    <row r="7" spans="1:19" ht="33.6" customHeight="1" x14ac:dyDescent="0.3">
      <c r="B7" s="15" t="s">
        <v>53</v>
      </c>
      <c r="C7" s="16">
        <v>30</v>
      </c>
      <c r="D7" s="16">
        <v>30</v>
      </c>
      <c r="E7" s="16">
        <v>30</v>
      </c>
      <c r="F7" s="16">
        <v>30</v>
      </c>
      <c r="G7" s="16">
        <v>30</v>
      </c>
      <c r="H7" s="16">
        <v>30</v>
      </c>
      <c r="I7" s="16">
        <v>30</v>
      </c>
      <c r="J7" s="16">
        <v>30</v>
      </c>
      <c r="K7" s="16">
        <v>30</v>
      </c>
      <c r="L7" s="16">
        <v>30</v>
      </c>
      <c r="M7" s="16">
        <v>30</v>
      </c>
    </row>
    <row r="8" spans="1:19" ht="4.9000000000000004" customHeight="1" x14ac:dyDescent="0.3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9" ht="12.6" customHeight="1" x14ac:dyDescent="0.3">
      <c r="C9" s="11">
        <v>42369</v>
      </c>
      <c r="D9" s="11">
        <v>42370</v>
      </c>
      <c r="E9" s="11">
        <v>42371</v>
      </c>
      <c r="F9" s="11">
        <v>42372</v>
      </c>
      <c r="G9" s="11">
        <v>42373</v>
      </c>
      <c r="H9" s="11">
        <v>42374</v>
      </c>
      <c r="I9" s="11">
        <v>42375</v>
      </c>
      <c r="J9" s="11">
        <v>42376</v>
      </c>
      <c r="K9" s="11">
        <v>42377</v>
      </c>
      <c r="L9" s="11">
        <v>42378</v>
      </c>
      <c r="M9" s="11">
        <v>42379</v>
      </c>
    </row>
    <row r="10" spans="1:19" ht="14.45" customHeight="1" x14ac:dyDescent="0.3">
      <c r="B10" s="25" t="s">
        <v>32</v>
      </c>
      <c r="C10" s="128" t="s">
        <v>33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30"/>
    </row>
    <row r="11" spans="1:19" ht="18" customHeight="1" x14ac:dyDescent="0.25">
      <c r="B11" s="3" t="s">
        <v>10</v>
      </c>
      <c r="C11" s="17">
        <f>300000</f>
        <v>300000</v>
      </c>
      <c r="D11" s="17"/>
      <c r="E11" s="17"/>
      <c r="F11" s="17"/>
      <c r="G11" s="17"/>
      <c r="H11" s="17"/>
      <c r="I11" s="17"/>
      <c r="J11" s="17">
        <v>200000</v>
      </c>
      <c r="K11" s="17"/>
      <c r="L11" s="17"/>
      <c r="M11" s="17"/>
      <c r="N11" s="2"/>
      <c r="O11" s="2"/>
      <c r="P11" s="2"/>
      <c r="Q11" s="2"/>
      <c r="R11" s="2"/>
      <c r="S11" s="2"/>
    </row>
    <row r="12" spans="1:19" ht="28.15" customHeight="1" x14ac:dyDescent="0.25">
      <c r="B12" s="18" t="s">
        <v>11</v>
      </c>
      <c r="C12" s="17">
        <v>900000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6"/>
      <c r="O12" s="6"/>
      <c r="P12" s="6"/>
      <c r="Q12" s="6"/>
      <c r="R12" s="2"/>
      <c r="S12" s="2"/>
    </row>
    <row r="13" spans="1:19" ht="30.6" customHeight="1" x14ac:dyDescent="0.25">
      <c r="B13" s="18" t="s">
        <v>12</v>
      </c>
      <c r="C13" s="17"/>
      <c r="D13" s="17">
        <v>80000</v>
      </c>
      <c r="E13" s="17"/>
      <c r="F13" s="17"/>
      <c r="G13" s="17"/>
      <c r="H13" s="17"/>
      <c r="I13" s="17"/>
      <c r="J13" s="17"/>
      <c r="K13" s="17"/>
      <c r="L13" s="17"/>
      <c r="M13" s="17"/>
      <c r="N13" s="6"/>
      <c r="O13" s="6"/>
      <c r="P13" s="6"/>
      <c r="Q13" s="6"/>
      <c r="R13" s="2"/>
      <c r="S13" s="2"/>
    </row>
    <row r="14" spans="1:19" ht="15" customHeight="1" x14ac:dyDescent="0.25">
      <c r="B14" s="18" t="s">
        <v>13</v>
      </c>
      <c r="C14" s="17"/>
      <c r="D14" s="17">
        <v>150000</v>
      </c>
      <c r="E14" s="17"/>
      <c r="F14" s="17"/>
      <c r="G14" s="17"/>
      <c r="H14" s="17"/>
      <c r="I14" s="17"/>
      <c r="J14" s="17"/>
      <c r="K14" s="17"/>
      <c r="L14" s="17"/>
      <c r="M14" s="17"/>
      <c r="N14" s="6"/>
      <c r="O14" s="6"/>
      <c r="P14" s="6"/>
      <c r="Q14" s="6"/>
      <c r="R14" s="2"/>
      <c r="S14" s="2"/>
    </row>
    <row r="15" spans="1:19" ht="31.5" x14ac:dyDescent="0.25">
      <c r="B15" s="18" t="s">
        <v>20</v>
      </c>
      <c r="C15" s="17"/>
      <c r="D15" s="17"/>
      <c r="E15" s="17">
        <v>350000</v>
      </c>
      <c r="F15" s="17"/>
      <c r="G15" s="17"/>
      <c r="H15" s="17"/>
      <c r="I15" s="17"/>
      <c r="J15" s="17"/>
      <c r="K15" s="17"/>
      <c r="L15" s="17"/>
      <c r="M15" s="17"/>
      <c r="N15" s="6"/>
      <c r="O15" s="6"/>
      <c r="P15" s="6"/>
      <c r="Q15" s="6"/>
      <c r="R15" s="2"/>
      <c r="S15" s="2"/>
    </row>
    <row r="16" spans="1:19" ht="13.15" customHeight="1" x14ac:dyDescent="0.25">
      <c r="B16" s="18" t="s">
        <v>14</v>
      </c>
      <c r="C16" s="17"/>
      <c r="D16" s="17"/>
      <c r="E16" s="17"/>
      <c r="F16" s="17"/>
      <c r="G16" s="17">
        <v>60000</v>
      </c>
      <c r="H16" s="17"/>
      <c r="I16" s="17"/>
      <c r="J16" s="17"/>
      <c r="K16" s="17"/>
      <c r="L16" s="17"/>
      <c r="M16" s="17"/>
      <c r="N16" s="6"/>
      <c r="O16" s="6"/>
      <c r="P16" s="6"/>
      <c r="Q16" s="6"/>
      <c r="R16" s="2"/>
      <c r="S16" s="2"/>
    </row>
    <row r="17" spans="2:19" ht="12.6" customHeight="1" x14ac:dyDescent="0.25">
      <c r="B17" s="18" t="s">
        <v>15</v>
      </c>
      <c r="C17" s="17"/>
      <c r="D17" s="17"/>
      <c r="E17" s="17"/>
      <c r="F17" s="17"/>
      <c r="G17" s="17"/>
      <c r="H17" s="17">
        <v>90000</v>
      </c>
      <c r="I17" s="17"/>
      <c r="J17" s="17"/>
      <c r="K17" s="17"/>
      <c r="L17" s="17"/>
      <c r="M17" s="17"/>
      <c r="N17" s="6"/>
      <c r="O17" s="6"/>
      <c r="P17" s="6"/>
      <c r="Q17" s="6"/>
      <c r="R17" s="2"/>
      <c r="S17" s="2"/>
    </row>
    <row r="18" spans="2:19" ht="28.9" customHeight="1" x14ac:dyDescent="0.25">
      <c r="B18" s="18" t="s">
        <v>18</v>
      </c>
      <c r="C18" s="17"/>
      <c r="D18" s="17"/>
      <c r="E18" s="17"/>
      <c r="F18" s="17"/>
      <c r="G18" s="17"/>
      <c r="H18" s="17"/>
      <c r="I18" s="17">
        <v>250000</v>
      </c>
      <c r="J18" s="17"/>
      <c r="K18" s="17"/>
      <c r="L18" s="17"/>
      <c r="M18" s="17"/>
      <c r="N18" s="6"/>
      <c r="O18" s="6"/>
      <c r="P18" s="6"/>
      <c r="Q18" s="6"/>
      <c r="R18" s="2"/>
      <c r="S18" s="2"/>
    </row>
    <row r="19" spans="2:19" ht="15.6" customHeight="1" x14ac:dyDescent="0.25">
      <c r="B19" s="18" t="s">
        <v>16</v>
      </c>
      <c r="C19" s="17"/>
      <c r="D19" s="17"/>
      <c r="E19" s="17"/>
      <c r="F19" s="17"/>
      <c r="G19" s="17"/>
      <c r="H19" s="17"/>
      <c r="I19" s="17"/>
      <c r="J19" s="17">
        <v>350000</v>
      </c>
      <c r="K19" s="17"/>
      <c r="L19" s="17"/>
      <c r="M19" s="17"/>
      <c r="N19" s="6"/>
      <c r="O19" s="6"/>
      <c r="P19" s="6"/>
      <c r="Q19" s="6"/>
      <c r="R19" s="2"/>
      <c r="S19" s="2"/>
    </row>
    <row r="20" spans="2:19" ht="16.899999999999999" customHeight="1" x14ac:dyDescent="0.25">
      <c r="B20" s="18" t="s">
        <v>17</v>
      </c>
      <c r="C20" s="17"/>
      <c r="D20" s="17"/>
      <c r="E20" s="17"/>
      <c r="F20" s="17"/>
      <c r="G20" s="17"/>
      <c r="H20" s="17"/>
      <c r="I20" s="17"/>
      <c r="J20" s="17"/>
      <c r="K20" s="17">
        <v>160000</v>
      </c>
      <c r="L20" s="17"/>
      <c r="M20" s="17"/>
      <c r="N20" s="6"/>
      <c r="O20" s="6"/>
      <c r="P20" s="6"/>
      <c r="Q20" s="6"/>
      <c r="R20" s="2"/>
      <c r="S20" s="2"/>
    </row>
    <row r="21" spans="2:19" ht="12.6" customHeight="1" x14ac:dyDescent="0.25">
      <c r="B21" s="3" t="s">
        <v>19</v>
      </c>
      <c r="C21" s="17"/>
      <c r="D21" s="17"/>
      <c r="E21" s="17"/>
      <c r="F21" s="17"/>
      <c r="G21" s="17"/>
      <c r="H21" s="17"/>
      <c r="I21" s="17"/>
      <c r="J21" s="17"/>
      <c r="K21" s="17"/>
      <c r="L21" s="17">
        <v>130000</v>
      </c>
      <c r="M21" s="17"/>
      <c r="N21" s="6"/>
      <c r="O21" s="6"/>
      <c r="P21" s="6"/>
      <c r="Q21" s="6"/>
      <c r="R21" s="2"/>
      <c r="S21" s="2"/>
    </row>
    <row r="22" spans="2:19" ht="8.4499999999999993" customHeight="1" x14ac:dyDescent="0.3"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2"/>
      <c r="S22" s="2"/>
    </row>
    <row r="23" spans="2:19" ht="14.45" customHeight="1" x14ac:dyDescent="0.25">
      <c r="B23" s="4" t="s">
        <v>46</v>
      </c>
      <c r="C23" s="19"/>
      <c r="D23" s="19">
        <f>20000/2</f>
        <v>10000</v>
      </c>
      <c r="E23" s="19">
        <f>20000/2</f>
        <v>10000</v>
      </c>
      <c r="F23" s="19"/>
      <c r="G23" s="19"/>
      <c r="H23" s="19"/>
      <c r="I23" s="19"/>
      <c r="J23" s="19"/>
      <c r="K23" s="19"/>
      <c r="L23" s="19"/>
      <c r="M23" s="19"/>
      <c r="N23" s="6"/>
      <c r="O23" s="6"/>
      <c r="P23" s="6"/>
      <c r="Q23" s="6"/>
      <c r="R23" s="2"/>
      <c r="S23" s="2"/>
    </row>
    <row r="24" spans="2:19" ht="13.9" customHeight="1" x14ac:dyDescent="0.25">
      <c r="B24" s="4" t="s">
        <v>47</v>
      </c>
      <c r="C24" s="19"/>
      <c r="D24" s="19"/>
      <c r="E24" s="19"/>
      <c r="F24" s="19">
        <f>30000/7</f>
        <v>4286</v>
      </c>
      <c r="G24" s="19">
        <f t="shared" ref="G24:K24" si="0">30000/7</f>
        <v>4286</v>
      </c>
      <c r="H24" s="19">
        <f t="shared" si="0"/>
        <v>4286</v>
      </c>
      <c r="I24" s="19">
        <f t="shared" si="0"/>
        <v>4286</v>
      </c>
      <c r="J24" s="19">
        <f t="shared" si="0"/>
        <v>4286</v>
      </c>
      <c r="K24" s="19">
        <f t="shared" si="0"/>
        <v>4286</v>
      </c>
      <c r="L24" s="19">
        <f>30000/7-2</f>
        <v>4284</v>
      </c>
      <c r="M24" s="19"/>
      <c r="N24" s="6"/>
      <c r="O24" s="6"/>
      <c r="P24" s="6"/>
      <c r="Q24" s="6"/>
      <c r="R24" s="2"/>
      <c r="S24" s="2"/>
    </row>
    <row r="25" spans="2:19" ht="25.9" customHeight="1" x14ac:dyDescent="0.25">
      <c r="B25" s="18" t="s">
        <v>40</v>
      </c>
      <c r="C25" s="17">
        <f>SUM(C11:C24)</f>
        <v>1200000</v>
      </c>
      <c r="D25" s="17">
        <f>SUM(D11:D24)</f>
        <v>240000</v>
      </c>
      <c r="E25" s="17">
        <f t="shared" ref="E25:M25" si="1">SUM(E11:E24)</f>
        <v>360000</v>
      </c>
      <c r="F25" s="17">
        <f t="shared" si="1"/>
        <v>4286</v>
      </c>
      <c r="G25" s="17">
        <f t="shared" si="1"/>
        <v>64286</v>
      </c>
      <c r="H25" s="17">
        <f t="shared" si="1"/>
        <v>94286</v>
      </c>
      <c r="I25" s="17">
        <f t="shared" si="1"/>
        <v>254286</v>
      </c>
      <c r="J25" s="17">
        <f t="shared" si="1"/>
        <v>554286</v>
      </c>
      <c r="K25" s="17">
        <f t="shared" si="1"/>
        <v>164286</v>
      </c>
      <c r="L25" s="17">
        <f t="shared" si="1"/>
        <v>134284</v>
      </c>
      <c r="M25" s="17">
        <f t="shared" si="1"/>
        <v>0</v>
      </c>
      <c r="N25" s="6"/>
      <c r="O25" s="6"/>
      <c r="P25" s="6"/>
      <c r="Q25" s="6"/>
      <c r="R25" s="2"/>
      <c r="S25" s="2"/>
    </row>
    <row r="26" spans="2:19" ht="31.15" customHeight="1" x14ac:dyDescent="0.25">
      <c r="B26" s="20" t="s">
        <v>21</v>
      </c>
      <c r="C26" s="21">
        <f>(C25-C23)+(C25-C23)*C7/100+C23</f>
        <v>1560000</v>
      </c>
      <c r="D26" s="21">
        <f>(D25-D23)+(D25-D23)*D7/100+D23</f>
        <v>309000</v>
      </c>
      <c r="E26" s="21">
        <f t="shared" ref="E26:M26" si="2">(E25-E23)+(E25-E23)*E7/100+E23</f>
        <v>465000</v>
      </c>
      <c r="F26" s="21">
        <f>(F25-F24)+(F25-F24)*F7/100+F24</f>
        <v>4286</v>
      </c>
      <c r="G26" s="21">
        <f>(G25-G24)+(G25-G24)*G7/100+G24</f>
        <v>82286</v>
      </c>
      <c r="H26" s="21">
        <f t="shared" si="2"/>
        <v>122572</v>
      </c>
      <c r="I26" s="21">
        <f t="shared" si="2"/>
        <v>330572</v>
      </c>
      <c r="J26" s="21">
        <f t="shared" si="2"/>
        <v>720572</v>
      </c>
      <c r="K26" s="21">
        <f t="shared" si="2"/>
        <v>213572</v>
      </c>
      <c r="L26" s="21">
        <f t="shared" si="2"/>
        <v>174569</v>
      </c>
      <c r="M26" s="21">
        <f t="shared" si="2"/>
        <v>0</v>
      </c>
      <c r="N26" s="6"/>
      <c r="O26" s="6">
        <f>SUM(G26:N26)/8/201</f>
        <v>1022</v>
      </c>
      <c r="P26" s="6"/>
      <c r="Q26" s="6"/>
      <c r="R26" s="2"/>
      <c r="S26" s="2"/>
    </row>
    <row r="27" spans="2:19" ht="28.9" customHeight="1" x14ac:dyDescent="0.25">
      <c r="B27" s="22" t="s">
        <v>22</v>
      </c>
      <c r="C27" s="19">
        <f>C25/C6</f>
        <v>5970</v>
      </c>
      <c r="D27" s="19">
        <f t="shared" ref="D27:M27" si="3">D25/D6</f>
        <v>1194</v>
      </c>
      <c r="E27" s="19">
        <f t="shared" si="3"/>
        <v>1791</v>
      </c>
      <c r="F27" s="19">
        <f t="shared" si="3"/>
        <v>21</v>
      </c>
      <c r="G27" s="19">
        <f t="shared" si="3"/>
        <v>320</v>
      </c>
      <c r="H27" s="19">
        <f t="shared" si="3"/>
        <v>469</v>
      </c>
      <c r="I27" s="19">
        <f t="shared" si="3"/>
        <v>1265</v>
      </c>
      <c r="J27" s="19">
        <f t="shared" si="3"/>
        <v>2758</v>
      </c>
      <c r="K27" s="19">
        <f t="shared" si="3"/>
        <v>817</v>
      </c>
      <c r="L27" s="19">
        <f t="shared" si="3"/>
        <v>668</v>
      </c>
      <c r="M27" s="19">
        <f t="shared" si="3"/>
        <v>0</v>
      </c>
      <c r="N27" s="6"/>
      <c r="O27" s="6"/>
      <c r="P27" s="6"/>
      <c r="Q27" s="6"/>
      <c r="R27" s="2"/>
      <c r="S27" s="2"/>
    </row>
    <row r="28" spans="2:19" ht="8.4499999999999993" customHeight="1" x14ac:dyDescent="0.3"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6"/>
      <c r="O28" s="6"/>
      <c r="P28" s="6"/>
      <c r="Q28" s="6"/>
      <c r="R28" s="2"/>
      <c r="S28" s="2"/>
    </row>
    <row r="29" spans="2:19" ht="45.6" customHeight="1" x14ac:dyDescent="0.25">
      <c r="B29" s="22" t="s">
        <v>28</v>
      </c>
      <c r="C29" s="19">
        <f>C26/C6</f>
        <v>7761</v>
      </c>
      <c r="D29" s="19">
        <f t="shared" ref="D29:M29" si="4">D26/D6</f>
        <v>1537</v>
      </c>
      <c r="E29" s="19">
        <f t="shared" si="4"/>
        <v>2313</v>
      </c>
      <c r="F29" s="19">
        <f t="shared" si="4"/>
        <v>21</v>
      </c>
      <c r="G29" s="19">
        <f t="shared" si="4"/>
        <v>409</v>
      </c>
      <c r="H29" s="19">
        <f t="shared" si="4"/>
        <v>610</v>
      </c>
      <c r="I29" s="19">
        <f t="shared" si="4"/>
        <v>1645</v>
      </c>
      <c r="J29" s="19">
        <f t="shared" si="4"/>
        <v>3585</v>
      </c>
      <c r="K29" s="19">
        <f t="shared" si="4"/>
        <v>1063</v>
      </c>
      <c r="L29" s="19">
        <f t="shared" si="4"/>
        <v>869</v>
      </c>
      <c r="M29" s="19">
        <f t="shared" si="4"/>
        <v>0</v>
      </c>
      <c r="N29" s="6"/>
      <c r="O29" s="6"/>
      <c r="P29" s="6"/>
      <c r="Q29" s="6"/>
      <c r="R29" s="2"/>
      <c r="S29" s="2"/>
    </row>
    <row r="30" spans="2:19" ht="13.15" customHeight="1" x14ac:dyDescent="0.3">
      <c r="B30" s="7"/>
      <c r="C30" s="10">
        <f>C29/C27</f>
        <v>1.3</v>
      </c>
      <c r="D30" s="10">
        <f t="shared" ref="D30:M30" si="5">D29/D27</f>
        <v>1.3</v>
      </c>
      <c r="E30" s="10">
        <f t="shared" si="5"/>
        <v>1.3</v>
      </c>
      <c r="F30" s="10">
        <f t="shared" si="5"/>
        <v>1</v>
      </c>
      <c r="G30" s="10">
        <f t="shared" si="5"/>
        <v>1.3</v>
      </c>
      <c r="H30" s="10">
        <f t="shared" si="5"/>
        <v>1.3</v>
      </c>
      <c r="I30" s="10">
        <f t="shared" si="5"/>
        <v>1.3</v>
      </c>
      <c r="J30" s="10">
        <f t="shared" si="5"/>
        <v>1.3</v>
      </c>
      <c r="K30" s="10">
        <f t="shared" si="5"/>
        <v>1.3</v>
      </c>
      <c r="L30" s="10">
        <f t="shared" si="5"/>
        <v>1.3</v>
      </c>
      <c r="M30" s="10" t="e">
        <f t="shared" si="5"/>
        <v>#DIV/0!</v>
      </c>
      <c r="N30" s="6"/>
      <c r="O30" s="6"/>
      <c r="P30" s="6"/>
      <c r="Q30" s="6"/>
      <c r="R30" s="2"/>
      <c r="S30" s="2"/>
    </row>
    <row r="31" spans="2:19" ht="61.9" customHeight="1" x14ac:dyDescent="0.25">
      <c r="B31" s="18" t="s">
        <v>50</v>
      </c>
      <c r="C31" s="6">
        <f>(C26+D26+E26)/2/C6</f>
        <v>5806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2"/>
      <c r="S31" s="2"/>
    </row>
    <row r="32" spans="2:19" ht="63.6" customHeight="1" x14ac:dyDescent="0.25">
      <c r="B32" s="18" t="s">
        <v>51</v>
      </c>
      <c r="C32" s="6">
        <f>(F26+G26+H26+I26+J26+K26+L26+M26)/8/F6</f>
        <v>1025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2"/>
      <c r="S32" s="2"/>
    </row>
    <row r="33" spans="2:19" ht="70.150000000000006" customHeight="1" x14ac:dyDescent="0.25">
      <c r="B33" s="18" t="s">
        <v>52</v>
      </c>
      <c r="C33" s="6">
        <f>(I26+J26)/2/I6</f>
        <v>2615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"/>
      <c r="S33" s="2"/>
    </row>
    <row r="34" spans="2:19" ht="16.149999999999999" customHeight="1" x14ac:dyDescent="0.25">
      <c r="B34" s="3" t="s">
        <v>31</v>
      </c>
      <c r="C34" s="17"/>
      <c r="D34" s="23">
        <v>700</v>
      </c>
      <c r="E34" s="17"/>
      <c r="F34" s="17"/>
      <c r="G34" s="17"/>
      <c r="H34" s="17"/>
      <c r="I34" s="17"/>
      <c r="J34" s="17"/>
      <c r="K34" s="17"/>
      <c r="L34" s="17"/>
      <c r="M34" s="17"/>
      <c r="N34" s="6"/>
      <c r="O34" s="6"/>
      <c r="P34" s="6"/>
      <c r="Q34" s="6"/>
      <c r="R34" s="2"/>
      <c r="S34" s="2"/>
    </row>
    <row r="35" spans="2:19" ht="34.15" customHeight="1" x14ac:dyDescent="0.25">
      <c r="B35" s="18" t="s">
        <v>44</v>
      </c>
      <c r="C35" s="28"/>
      <c r="D35" s="23">
        <f>D37+D38</f>
        <v>429</v>
      </c>
      <c r="E35" s="28"/>
      <c r="F35" s="28"/>
      <c r="G35" s="28"/>
      <c r="H35" s="28"/>
      <c r="I35" s="28"/>
      <c r="J35" s="28"/>
      <c r="K35" s="28"/>
      <c r="L35" s="28"/>
      <c r="M35" s="28"/>
      <c r="N35" s="6"/>
      <c r="O35" s="6"/>
      <c r="P35" s="6"/>
      <c r="Q35" s="6"/>
      <c r="R35" s="2"/>
      <c r="S35" s="2"/>
    </row>
    <row r="36" spans="2:19" ht="17.45" customHeight="1" x14ac:dyDescent="0.25">
      <c r="B36" s="8" t="s">
        <v>24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2"/>
      <c r="S36" s="2"/>
    </row>
    <row r="37" spans="2:19" ht="16.149999999999999" customHeight="1" x14ac:dyDescent="0.25">
      <c r="B37" s="2" t="s">
        <v>42</v>
      </c>
      <c r="C37" s="6"/>
      <c r="D37" s="23">
        <f>179*1.1</f>
        <v>197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2"/>
      <c r="S37" s="2"/>
    </row>
    <row r="38" spans="2:19" ht="17.45" customHeight="1" x14ac:dyDescent="0.25">
      <c r="B38" s="2" t="s">
        <v>43</v>
      </c>
      <c r="C38" s="6"/>
      <c r="D38" s="23">
        <f>211*1.1</f>
        <v>232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2"/>
      <c r="S38" s="2"/>
    </row>
    <row r="39" spans="2:19" ht="12.6" customHeight="1" x14ac:dyDescent="0.3">
      <c r="B39" s="2"/>
      <c r="C39" s="6"/>
      <c r="D39" s="29">
        <f>D34/D38</f>
        <v>3.02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2"/>
      <c r="S39" s="2"/>
    </row>
    <row r="40" spans="2:19" s="2" customFormat="1" ht="6.6" hidden="1" customHeight="1" x14ac:dyDescent="0.3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9" s="2" customFormat="1" ht="6.6" customHeight="1" x14ac:dyDescent="0.3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9" s="2" customFormat="1" ht="47.45" customHeight="1" x14ac:dyDescent="0.25">
      <c r="B42" s="18" t="s">
        <v>27</v>
      </c>
      <c r="C42" s="24">
        <f>2818.12/2*1.1</f>
        <v>1550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9" s="2" customFormat="1" ht="49.15" customHeight="1" x14ac:dyDescent="0.25">
      <c r="B43" s="34" t="s">
        <v>34</v>
      </c>
      <c r="C43" s="42">
        <v>1125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9" s="2" customFormat="1" ht="37.9" customHeight="1" x14ac:dyDescent="0.25">
      <c r="B44" s="18" t="s">
        <v>39</v>
      </c>
      <c r="C44" s="17">
        <v>5250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9" s="2" customFormat="1" ht="26.45" customHeight="1" x14ac:dyDescent="0.3">
      <c r="C45" s="13">
        <f>C44/C42</f>
        <v>3.387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9" s="2" customFormat="1" ht="37.9" customHeight="1" x14ac:dyDescent="0.25">
      <c r="B46" s="34" t="s">
        <v>35</v>
      </c>
      <c r="C46" s="36">
        <v>4330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9" s="2" customFormat="1" ht="16.899999999999999" customHeight="1" x14ac:dyDescent="0.3">
      <c r="C47" s="26">
        <f>C46/C43</f>
        <v>3.8490000000000002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9" s="2" customFormat="1" ht="15" customHeight="1" x14ac:dyDescent="0.25">
      <c r="B48" s="2" t="s">
        <v>36</v>
      </c>
      <c r="C48" s="13">
        <f>C44/C46</f>
        <v>1.212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9" s="2" customFormat="1" ht="9" customHeight="1" x14ac:dyDescent="0.3">
      <c r="C49" s="2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9" s="2" customFormat="1" ht="47.45" customHeight="1" x14ac:dyDescent="0.25">
      <c r="B50" s="18" t="s">
        <v>29</v>
      </c>
      <c r="C50" s="10"/>
      <c r="D50" s="6"/>
      <c r="E50" s="6"/>
      <c r="F50" s="6"/>
      <c r="G50" s="6"/>
      <c r="H50" s="6"/>
      <c r="I50" s="6"/>
      <c r="J50" s="24">
        <f>901.88/2*1.3</f>
        <v>586.20000000000005</v>
      </c>
      <c r="K50" s="6"/>
      <c r="L50" s="6"/>
      <c r="M50" s="6"/>
      <c r="N50" s="6"/>
      <c r="O50" s="6"/>
      <c r="P50" s="6"/>
      <c r="Q50" s="6"/>
    </row>
    <row r="51" spans="2:19" s="2" customFormat="1" ht="47.45" customHeight="1" x14ac:dyDescent="0.25">
      <c r="B51" s="30" t="s">
        <v>37</v>
      </c>
      <c r="C51" s="31"/>
      <c r="D51" s="32"/>
      <c r="E51" s="32"/>
      <c r="F51" s="32"/>
      <c r="G51" s="32"/>
      <c r="H51" s="32"/>
      <c r="I51" s="32"/>
      <c r="J51" s="33">
        <v>880</v>
      </c>
      <c r="K51" s="6"/>
      <c r="L51" s="6"/>
      <c r="M51" s="6"/>
      <c r="N51" s="6"/>
      <c r="O51" s="6"/>
      <c r="P51" s="6"/>
      <c r="Q51" s="6"/>
    </row>
    <row r="52" spans="2:19" s="2" customFormat="1" ht="34.9" customHeight="1" x14ac:dyDescent="0.25">
      <c r="B52" s="18" t="s">
        <v>30</v>
      </c>
      <c r="C52" s="10"/>
      <c r="J52" s="38">
        <f>J50*4</f>
        <v>2344.8000000000002</v>
      </c>
      <c r="O52" s="6">
        <f>J52*201</f>
        <v>471305</v>
      </c>
    </row>
    <row r="53" spans="2:19" ht="15.6" x14ac:dyDescent="0.3">
      <c r="B53" s="2"/>
      <c r="C53" s="2"/>
      <c r="D53" s="2"/>
      <c r="E53" s="2"/>
      <c r="F53" s="2"/>
      <c r="G53" s="2"/>
      <c r="H53" s="2"/>
      <c r="I53" s="2"/>
      <c r="J53" s="27">
        <f>J52/J50</f>
        <v>4</v>
      </c>
      <c r="K53" s="2"/>
      <c r="L53" s="2"/>
      <c r="M53" s="2"/>
      <c r="N53" s="2"/>
      <c r="O53" s="2"/>
      <c r="P53" s="2"/>
      <c r="Q53" s="2"/>
      <c r="R53" s="2"/>
      <c r="S53" s="2"/>
    </row>
    <row r="54" spans="2:19" ht="31.5" x14ac:dyDescent="0.25">
      <c r="B54" s="34" t="s">
        <v>38</v>
      </c>
      <c r="C54" s="35"/>
      <c r="D54" s="35"/>
      <c r="E54" s="35"/>
      <c r="F54" s="35"/>
      <c r="G54" s="35"/>
      <c r="H54" s="35"/>
      <c r="I54" s="35"/>
      <c r="J54" s="36">
        <v>5320</v>
      </c>
      <c r="K54" s="2"/>
      <c r="L54" s="2"/>
      <c r="M54" s="2"/>
      <c r="N54" s="2"/>
      <c r="O54" s="2"/>
      <c r="P54" s="2"/>
      <c r="Q54" s="2"/>
      <c r="R54" s="2"/>
      <c r="S54" s="2"/>
    </row>
    <row r="55" spans="2:19" ht="4.1500000000000004" customHeight="1" x14ac:dyDescent="0.3">
      <c r="B55" s="2"/>
      <c r="C55" s="2"/>
      <c r="D55" s="2"/>
      <c r="E55" s="2"/>
      <c r="F55" s="2"/>
      <c r="G55" s="2"/>
      <c r="H55" s="2"/>
      <c r="I55" s="2"/>
      <c r="J55" s="27">
        <f>J54/J51</f>
        <v>6.0449999999999999</v>
      </c>
      <c r="K55" s="2"/>
      <c r="L55" s="2"/>
      <c r="M55" s="2"/>
      <c r="N55" s="2"/>
      <c r="O55" s="2"/>
      <c r="P55" s="2"/>
      <c r="Q55" s="2"/>
      <c r="R55" s="2"/>
      <c r="S55" s="2"/>
    </row>
    <row r="56" spans="2:19" ht="15.75" x14ac:dyDescent="0.25">
      <c r="B56" s="2" t="s">
        <v>36</v>
      </c>
      <c r="C56" s="2"/>
      <c r="D56" s="2"/>
      <c r="E56" s="2"/>
      <c r="F56" s="2"/>
      <c r="G56" s="2"/>
      <c r="H56" s="2"/>
      <c r="I56" s="2"/>
      <c r="J56" s="27">
        <f>J52/J54</f>
        <v>0.441</v>
      </c>
      <c r="K56" s="2"/>
      <c r="L56" s="2"/>
      <c r="M56" s="2"/>
      <c r="N56" s="2"/>
      <c r="O56" s="2"/>
      <c r="P56" s="2"/>
      <c r="Q56" s="2"/>
      <c r="R56" s="2"/>
      <c r="S56" s="2"/>
    </row>
    <row r="57" spans="2:19" ht="3.6" customHeight="1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61.9" customHeight="1" x14ac:dyDescent="0.25">
      <c r="B58" s="18" t="s">
        <v>45</v>
      </c>
      <c r="C58" s="24">
        <f>C27+C35+C42+C50</f>
        <v>7520</v>
      </c>
      <c r="D58" s="24">
        <f t="shared" ref="D58:M58" si="6">D27+D35+D42+D50</f>
        <v>1623</v>
      </c>
      <c r="E58" s="24">
        <f t="shared" si="6"/>
        <v>1791</v>
      </c>
      <c r="F58" s="24">
        <f>F27+F35+F42+F50</f>
        <v>21</v>
      </c>
      <c r="G58" s="24">
        <f t="shared" si="6"/>
        <v>320</v>
      </c>
      <c r="H58" s="24">
        <f t="shared" si="6"/>
        <v>469</v>
      </c>
      <c r="I58" s="24">
        <f t="shared" si="6"/>
        <v>1265</v>
      </c>
      <c r="J58" s="24">
        <f>J27+J35+J42+J50</f>
        <v>3344.2</v>
      </c>
      <c r="K58" s="24">
        <f t="shared" si="6"/>
        <v>817</v>
      </c>
      <c r="L58" s="24">
        <f t="shared" si="6"/>
        <v>668</v>
      </c>
      <c r="M58" s="24">
        <f t="shared" si="6"/>
        <v>0</v>
      </c>
      <c r="N58" s="2"/>
      <c r="O58" s="2"/>
      <c r="P58" s="2"/>
      <c r="Q58" s="2"/>
      <c r="R58" s="2"/>
      <c r="S58" s="2"/>
    </row>
    <row r="59" spans="2:19" ht="75" customHeight="1" x14ac:dyDescent="0.25">
      <c r="B59" s="18" t="s">
        <v>41</v>
      </c>
      <c r="C59" s="17">
        <f>C29+C34+C44+C54</f>
        <v>13011</v>
      </c>
      <c r="D59" s="17">
        <f t="shared" ref="D59:E59" si="7">D29+D34+D44+D54</f>
        <v>2237</v>
      </c>
      <c r="E59" s="17">
        <f t="shared" si="7"/>
        <v>2313</v>
      </c>
      <c r="F59" s="17">
        <f t="shared" ref="F59:M59" si="8">F29+F34+F44+F52</f>
        <v>21</v>
      </c>
      <c r="G59" s="17">
        <f t="shared" si="8"/>
        <v>409</v>
      </c>
      <c r="H59" s="17">
        <f t="shared" si="8"/>
        <v>610</v>
      </c>
      <c r="I59" s="17">
        <f t="shared" si="8"/>
        <v>1645</v>
      </c>
      <c r="J59" s="17">
        <f t="shared" si="8"/>
        <v>5930</v>
      </c>
      <c r="K59" s="17">
        <f t="shared" si="8"/>
        <v>1063</v>
      </c>
      <c r="L59" s="17">
        <f t="shared" si="8"/>
        <v>869</v>
      </c>
      <c r="M59" s="17">
        <f t="shared" si="8"/>
        <v>0</v>
      </c>
      <c r="N59" s="2"/>
      <c r="O59" s="2"/>
      <c r="P59" s="2"/>
      <c r="Q59" s="2"/>
      <c r="R59" s="2"/>
      <c r="S59" s="2"/>
    </row>
    <row r="60" spans="2:19" ht="9" customHeight="1" x14ac:dyDescent="0.25"/>
    <row r="61" spans="2:19" ht="60" customHeight="1" x14ac:dyDescent="0.25">
      <c r="B61" s="18" t="s">
        <v>54</v>
      </c>
      <c r="C61" s="39">
        <f>(C58+D58+E58)/2</f>
        <v>5467</v>
      </c>
    </row>
    <row r="62" spans="2:19" ht="49.15" customHeight="1" x14ac:dyDescent="0.25">
      <c r="B62" s="18" t="s">
        <v>55</v>
      </c>
      <c r="C62" s="40">
        <f>(C59+D59+E59)/2</f>
        <v>8781</v>
      </c>
    </row>
    <row r="63" spans="2:19" ht="4.1500000000000004" customHeight="1" x14ac:dyDescent="0.25"/>
    <row r="64" spans="2:19" ht="63" x14ac:dyDescent="0.25">
      <c r="B64" s="18" t="s">
        <v>56</v>
      </c>
      <c r="C64" s="39">
        <f>(F58+G58+H58+I58+J58+K58+L58+M58)/8</f>
        <v>863.03</v>
      </c>
    </row>
    <row r="65" spans="2:4" ht="63" x14ac:dyDescent="0.25">
      <c r="B65" s="18" t="s">
        <v>57</v>
      </c>
      <c r="C65" s="40">
        <f>(F59+G59+H59+I59+J59+K59+L59+M59)/8</f>
        <v>1318</v>
      </c>
    </row>
    <row r="66" spans="2:4" ht="13.9" hidden="1" x14ac:dyDescent="0.25"/>
    <row r="67" spans="2:4" ht="13.9" hidden="1" x14ac:dyDescent="0.25">
      <c r="C67" s="37" t="e">
        <f>C65-#REF!</f>
        <v>#REF!</v>
      </c>
      <c r="D67" s="1" t="e">
        <f>C67*8</f>
        <v>#REF!</v>
      </c>
    </row>
    <row r="68" spans="2:4" ht="66" customHeight="1" x14ac:dyDescent="0.25">
      <c r="B68" s="18" t="s">
        <v>48</v>
      </c>
      <c r="C68" s="41">
        <f>(I58+J58)/2</f>
        <v>2305</v>
      </c>
    </row>
    <row r="69" spans="2:4" ht="60" customHeight="1" x14ac:dyDescent="0.25">
      <c r="B69" s="18" t="s">
        <v>49</v>
      </c>
      <c r="C69" s="40">
        <f>(I59+J59)/2</f>
        <v>3788</v>
      </c>
    </row>
  </sheetData>
  <mergeCells count="3">
    <mergeCell ref="B3:M3"/>
    <mergeCell ref="A4:M4"/>
    <mergeCell ref="C10:M10"/>
  </mergeCells>
  <pageMargins left="0.11811023622047245" right="0" top="0.19685039370078741" bottom="0" header="0" footer="0"/>
  <pageSetup paperSize="8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S69"/>
  <sheetViews>
    <sheetView topLeftCell="A3" workbookViewId="0">
      <pane xSplit="2" ySplit="5" topLeftCell="C32" activePane="bottomRight" state="frozen"/>
      <selection activeCell="A3" sqref="A3"/>
      <selection pane="topRight" activeCell="C3" sqref="C3"/>
      <selection pane="bottomLeft" activeCell="A8" sqref="A8"/>
      <selection pane="bottomRight" activeCell="H36" sqref="H36"/>
    </sheetView>
  </sheetViews>
  <sheetFormatPr defaultColWidth="8.85546875" defaultRowHeight="15" x14ac:dyDescent="0.25"/>
  <cols>
    <col min="1" max="1" width="8.85546875" style="1"/>
    <col min="2" max="2" width="45.85546875" style="1" customWidth="1"/>
    <col min="3" max="3" width="11.5703125" style="1" customWidth="1"/>
    <col min="4" max="4" width="11" style="1" bestFit="1" customWidth="1"/>
    <col min="5" max="5" width="11.28515625" style="1" customWidth="1"/>
    <col min="6" max="6" width="11" style="1" bestFit="1" customWidth="1"/>
    <col min="7" max="7" width="12.7109375" style="1" customWidth="1"/>
    <col min="8" max="8" width="11.7109375" style="1" customWidth="1"/>
    <col min="9" max="9" width="11.28515625" style="1" customWidth="1"/>
    <col min="10" max="11" width="11.85546875" style="1" customWidth="1"/>
    <col min="12" max="12" width="11.42578125" style="1" customWidth="1"/>
    <col min="13" max="13" width="11.85546875" style="1" customWidth="1"/>
    <col min="14" max="14" width="8.85546875" style="1"/>
    <col min="15" max="15" width="12.7109375" style="1" customWidth="1"/>
    <col min="16" max="16384" width="8.85546875" style="1"/>
  </cols>
  <sheetData>
    <row r="1" spans="1:19" ht="13.9" hidden="1" x14ac:dyDescent="0.25"/>
    <row r="2" spans="1:19" ht="13.9" hidden="1" x14ac:dyDescent="0.25"/>
    <row r="3" spans="1:19" ht="21.6" customHeight="1" x14ac:dyDescent="0.3">
      <c r="B3" s="127" t="s">
        <v>25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9" ht="18" customHeight="1" x14ac:dyDescent="0.3">
      <c r="A4" s="127" t="s">
        <v>26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9" ht="7.15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9" ht="18" customHeight="1" x14ac:dyDescent="0.3">
      <c r="B6" s="15" t="s">
        <v>23</v>
      </c>
      <c r="C6" s="16">
        <v>201</v>
      </c>
      <c r="D6" s="16">
        <v>201</v>
      </c>
      <c r="E6" s="16">
        <v>201</v>
      </c>
      <c r="F6" s="16">
        <v>201</v>
      </c>
      <c r="G6" s="16">
        <v>201</v>
      </c>
      <c r="H6" s="16">
        <v>201</v>
      </c>
      <c r="I6" s="16">
        <v>201</v>
      </c>
      <c r="J6" s="16">
        <v>201</v>
      </c>
      <c r="K6" s="16">
        <v>201</v>
      </c>
      <c r="L6" s="16">
        <v>201</v>
      </c>
      <c r="M6" s="16">
        <v>201</v>
      </c>
    </row>
    <row r="7" spans="1:19" ht="33.6" customHeight="1" x14ac:dyDescent="0.3">
      <c r="B7" s="15" t="s">
        <v>53</v>
      </c>
      <c r="C7" s="16">
        <v>30</v>
      </c>
      <c r="D7" s="16">
        <v>30</v>
      </c>
      <c r="E7" s="16">
        <v>30</v>
      </c>
      <c r="F7" s="16">
        <v>30</v>
      </c>
      <c r="G7" s="16">
        <v>30</v>
      </c>
      <c r="H7" s="16">
        <v>30</v>
      </c>
      <c r="I7" s="16">
        <v>30</v>
      </c>
      <c r="J7" s="16">
        <v>30</v>
      </c>
      <c r="K7" s="16">
        <v>30</v>
      </c>
      <c r="L7" s="16">
        <v>30</v>
      </c>
      <c r="M7" s="16">
        <v>30</v>
      </c>
    </row>
    <row r="8" spans="1:19" ht="4.9000000000000004" customHeight="1" x14ac:dyDescent="0.3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9" ht="22.15" customHeight="1" x14ac:dyDescent="0.3">
      <c r="C9" s="11">
        <v>42369</v>
      </c>
      <c r="D9" s="11">
        <v>42370</v>
      </c>
      <c r="E9" s="11">
        <v>42371</v>
      </c>
      <c r="F9" s="11">
        <v>42372</v>
      </c>
      <c r="G9" s="11">
        <v>42373</v>
      </c>
      <c r="H9" s="11">
        <v>42374</v>
      </c>
      <c r="I9" s="11">
        <v>42375</v>
      </c>
      <c r="J9" s="11">
        <v>42376</v>
      </c>
      <c r="K9" s="11">
        <v>42377</v>
      </c>
      <c r="L9" s="11">
        <v>42378</v>
      </c>
      <c r="M9" s="11">
        <v>42379</v>
      </c>
    </row>
    <row r="10" spans="1:19" ht="14.45" customHeight="1" x14ac:dyDescent="0.3">
      <c r="B10" s="25" t="s">
        <v>32</v>
      </c>
      <c r="C10" s="128" t="s">
        <v>33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30"/>
    </row>
    <row r="11" spans="1:19" ht="18" customHeight="1" x14ac:dyDescent="0.25">
      <c r="B11" s="3" t="s">
        <v>10</v>
      </c>
      <c r="C11" s="17">
        <f>300000</f>
        <v>300000</v>
      </c>
      <c r="D11" s="17"/>
      <c r="E11" s="17"/>
      <c r="F11" s="17"/>
      <c r="G11" s="17"/>
      <c r="H11" s="17"/>
      <c r="I11" s="17"/>
      <c r="J11" s="17">
        <v>200000</v>
      </c>
      <c r="K11" s="17"/>
      <c r="L11" s="17"/>
      <c r="M11" s="17"/>
      <c r="N11" s="2"/>
      <c r="O11" s="2"/>
      <c r="P11" s="2"/>
      <c r="Q11" s="2"/>
      <c r="R11" s="2"/>
      <c r="S11" s="2"/>
    </row>
    <row r="12" spans="1:19" ht="28.15" customHeight="1" x14ac:dyDescent="0.25">
      <c r="B12" s="18" t="s">
        <v>58</v>
      </c>
      <c r="C12" s="17">
        <v>310000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6"/>
      <c r="O12" s="6"/>
      <c r="P12" s="6"/>
      <c r="Q12" s="6"/>
      <c r="R12" s="2"/>
      <c r="S12" s="2"/>
    </row>
    <row r="13" spans="1:19" ht="30.6" customHeight="1" x14ac:dyDescent="0.25">
      <c r="B13" s="18" t="s">
        <v>12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6"/>
      <c r="O13" s="6"/>
      <c r="P13" s="6"/>
      <c r="Q13" s="6"/>
      <c r="R13" s="2"/>
      <c r="S13" s="2"/>
    </row>
    <row r="14" spans="1:19" ht="15" customHeight="1" x14ac:dyDescent="0.25">
      <c r="B14" s="18" t="s">
        <v>13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6"/>
      <c r="O14" s="6"/>
      <c r="P14" s="6"/>
      <c r="Q14" s="6"/>
      <c r="R14" s="2"/>
      <c r="S14" s="2"/>
    </row>
    <row r="15" spans="1:19" ht="31.5" x14ac:dyDescent="0.25">
      <c r="B15" s="18" t="s">
        <v>20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6"/>
      <c r="O15" s="6"/>
      <c r="P15" s="6"/>
      <c r="Q15" s="6"/>
      <c r="R15" s="2"/>
      <c r="S15" s="2"/>
    </row>
    <row r="16" spans="1:19" ht="13.15" customHeight="1" x14ac:dyDescent="0.25">
      <c r="B16" s="18" t="s">
        <v>14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6"/>
      <c r="O16" s="6"/>
      <c r="P16" s="6"/>
      <c r="Q16" s="6"/>
      <c r="R16" s="2"/>
      <c r="S16" s="2"/>
    </row>
    <row r="17" spans="2:19" ht="12.6" customHeight="1" x14ac:dyDescent="0.25">
      <c r="B17" s="18" t="s">
        <v>15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6"/>
      <c r="O17" s="6"/>
      <c r="P17" s="6"/>
      <c r="Q17" s="6"/>
      <c r="R17" s="2"/>
      <c r="S17" s="2"/>
    </row>
    <row r="18" spans="2:19" ht="28.9" customHeight="1" x14ac:dyDescent="0.25">
      <c r="B18" s="18" t="s">
        <v>18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6"/>
      <c r="O18" s="6"/>
      <c r="P18" s="6"/>
      <c r="Q18" s="6"/>
      <c r="R18" s="2"/>
      <c r="S18" s="2"/>
    </row>
    <row r="19" spans="2:19" ht="15.6" customHeight="1" x14ac:dyDescent="0.25">
      <c r="B19" s="18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  <c r="O19" s="6"/>
      <c r="P19" s="6"/>
      <c r="Q19" s="6"/>
      <c r="R19" s="2"/>
      <c r="S19" s="2"/>
    </row>
    <row r="20" spans="2:19" ht="20.45" customHeight="1" x14ac:dyDescent="0.25">
      <c r="B20" s="18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6"/>
      <c r="O20" s="6"/>
      <c r="P20" s="6"/>
      <c r="Q20" s="6"/>
      <c r="R20" s="2"/>
      <c r="S20" s="2"/>
    </row>
    <row r="21" spans="2:19" ht="18.600000000000001" customHeight="1" x14ac:dyDescent="0.25">
      <c r="B21" s="3" t="s">
        <v>62</v>
      </c>
      <c r="C21" s="17"/>
      <c r="D21" s="17"/>
      <c r="E21" s="17"/>
      <c r="F21" s="17"/>
      <c r="G21" s="17"/>
      <c r="H21" s="17"/>
      <c r="I21" s="17"/>
      <c r="J21" s="17">
        <v>220000</v>
      </c>
      <c r="K21" s="17"/>
      <c r="L21" s="17"/>
      <c r="M21" s="17"/>
      <c r="N21" s="6"/>
      <c r="O21" s="6"/>
      <c r="P21" s="6"/>
      <c r="Q21" s="6"/>
      <c r="R21" s="2"/>
      <c r="S21" s="2"/>
    </row>
    <row r="22" spans="2:19" ht="8.4499999999999993" customHeight="1" x14ac:dyDescent="0.3"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2"/>
      <c r="S22" s="2"/>
    </row>
    <row r="23" spans="2:19" ht="14.45" customHeight="1" x14ac:dyDescent="0.25">
      <c r="B23" s="4" t="s">
        <v>59</v>
      </c>
      <c r="C23" s="19"/>
      <c r="D23" s="19">
        <f>50000/2</f>
        <v>25000</v>
      </c>
      <c r="E23" s="19">
        <f>50000/2</f>
        <v>25000</v>
      </c>
      <c r="F23" s="19"/>
      <c r="G23" s="19"/>
      <c r="H23" s="19"/>
      <c r="I23" s="19"/>
      <c r="J23" s="19"/>
      <c r="K23" s="19"/>
      <c r="L23" s="19"/>
      <c r="M23" s="19"/>
      <c r="N23" s="6"/>
      <c r="O23" s="6"/>
      <c r="P23" s="6"/>
      <c r="Q23" s="6"/>
      <c r="R23" s="2"/>
      <c r="S23" s="2"/>
    </row>
    <row r="24" spans="2:19" ht="13.9" customHeight="1" x14ac:dyDescent="0.25">
      <c r="B24" s="4" t="s">
        <v>47</v>
      </c>
      <c r="C24" s="19"/>
      <c r="D24" s="19"/>
      <c r="E24" s="19"/>
      <c r="F24" s="19">
        <f>30000/7</f>
        <v>4286</v>
      </c>
      <c r="G24" s="19">
        <f t="shared" ref="G24:K24" si="0">30000/7</f>
        <v>4286</v>
      </c>
      <c r="H24" s="19">
        <f t="shared" si="0"/>
        <v>4286</v>
      </c>
      <c r="I24" s="19">
        <f t="shared" si="0"/>
        <v>4286</v>
      </c>
      <c r="J24" s="19">
        <f t="shared" si="0"/>
        <v>4286</v>
      </c>
      <c r="K24" s="19">
        <f t="shared" si="0"/>
        <v>4286</v>
      </c>
      <c r="L24" s="19">
        <f>30000/7-2</f>
        <v>4284</v>
      </c>
      <c r="M24" s="19"/>
      <c r="N24" s="6"/>
      <c r="O24" s="6"/>
      <c r="P24" s="6"/>
      <c r="Q24" s="6"/>
      <c r="R24" s="2"/>
      <c r="S24" s="2"/>
    </row>
    <row r="25" spans="2:19" ht="36" customHeight="1" x14ac:dyDescent="0.25">
      <c r="B25" s="18" t="s">
        <v>40</v>
      </c>
      <c r="C25" s="17">
        <f>SUM(C11:C24)</f>
        <v>610000</v>
      </c>
      <c r="D25" s="17">
        <f>SUM(D11:D24)</f>
        <v>25000</v>
      </c>
      <c r="E25" s="17">
        <f t="shared" ref="E25:M25" si="1">SUM(E11:E24)</f>
        <v>25000</v>
      </c>
      <c r="F25" s="17">
        <f t="shared" si="1"/>
        <v>4286</v>
      </c>
      <c r="G25" s="17">
        <f t="shared" si="1"/>
        <v>4286</v>
      </c>
      <c r="H25" s="17">
        <f t="shared" si="1"/>
        <v>4286</v>
      </c>
      <c r="I25" s="17">
        <f t="shared" si="1"/>
        <v>4286</v>
      </c>
      <c r="J25" s="17">
        <f t="shared" si="1"/>
        <v>424286</v>
      </c>
      <c r="K25" s="17">
        <f t="shared" si="1"/>
        <v>4286</v>
      </c>
      <c r="L25" s="17">
        <f t="shared" si="1"/>
        <v>4284</v>
      </c>
      <c r="M25" s="17">
        <f t="shared" si="1"/>
        <v>0</v>
      </c>
      <c r="N25" s="6"/>
      <c r="O25" s="6"/>
      <c r="P25" s="6"/>
      <c r="Q25" s="6"/>
      <c r="R25" s="2"/>
      <c r="S25" s="2"/>
    </row>
    <row r="26" spans="2:19" ht="31.15" customHeight="1" x14ac:dyDescent="0.25">
      <c r="B26" s="20" t="s">
        <v>21</v>
      </c>
      <c r="C26" s="21">
        <f>(C25-C23)+(C25-C23)*C7/100+C23</f>
        <v>793000</v>
      </c>
      <c r="D26" s="21">
        <f>(D25-D23)+(D25-D23)*D7/100+D23</f>
        <v>25000</v>
      </c>
      <c r="E26" s="21">
        <f t="shared" ref="E26:M26" si="2">(E25-E23)+(E25-E23)*E7/100+E23</f>
        <v>25000</v>
      </c>
      <c r="F26" s="21">
        <f>(F25-F24)+(F25-F24)*F7/100+F24</f>
        <v>4286</v>
      </c>
      <c r="G26" s="21">
        <f>(G25-G24)+(G25-G24)*G7/100+G24</f>
        <v>4286</v>
      </c>
      <c r="H26" s="21">
        <f t="shared" si="2"/>
        <v>5572</v>
      </c>
      <c r="I26" s="21">
        <f t="shared" si="2"/>
        <v>5572</v>
      </c>
      <c r="J26" s="21">
        <f t="shared" si="2"/>
        <v>551572</v>
      </c>
      <c r="K26" s="21">
        <f t="shared" si="2"/>
        <v>5572</v>
      </c>
      <c r="L26" s="21">
        <f t="shared" si="2"/>
        <v>5569</v>
      </c>
      <c r="M26" s="21">
        <f t="shared" si="2"/>
        <v>0</v>
      </c>
      <c r="N26" s="6"/>
      <c r="O26" s="6">
        <f>SUM(G26:N26)/8/201</f>
        <v>360</v>
      </c>
      <c r="P26" s="6"/>
      <c r="Q26" s="6"/>
      <c r="R26" s="2"/>
      <c r="S26" s="2"/>
    </row>
    <row r="27" spans="2:19" ht="28.9" customHeight="1" x14ac:dyDescent="0.25">
      <c r="B27" s="22" t="s">
        <v>22</v>
      </c>
      <c r="C27" s="19">
        <f>C25/C6</f>
        <v>3035</v>
      </c>
      <c r="D27" s="19">
        <f t="shared" ref="D27:M27" si="3">D25/D6</f>
        <v>124</v>
      </c>
      <c r="E27" s="19">
        <f t="shared" si="3"/>
        <v>124</v>
      </c>
      <c r="F27" s="19">
        <f t="shared" si="3"/>
        <v>21</v>
      </c>
      <c r="G27" s="19">
        <f t="shared" si="3"/>
        <v>21</v>
      </c>
      <c r="H27" s="19">
        <f t="shared" si="3"/>
        <v>21</v>
      </c>
      <c r="I27" s="19">
        <f t="shared" si="3"/>
        <v>21</v>
      </c>
      <c r="J27" s="19">
        <f t="shared" si="3"/>
        <v>2111</v>
      </c>
      <c r="K27" s="19">
        <f t="shared" si="3"/>
        <v>21</v>
      </c>
      <c r="L27" s="19">
        <f t="shared" si="3"/>
        <v>21</v>
      </c>
      <c r="M27" s="19">
        <f t="shared" si="3"/>
        <v>0</v>
      </c>
      <c r="N27" s="6"/>
      <c r="O27" s="6"/>
      <c r="P27" s="6"/>
      <c r="Q27" s="6"/>
      <c r="R27" s="2"/>
      <c r="S27" s="2"/>
    </row>
    <row r="28" spans="2:19" ht="8.4499999999999993" customHeight="1" x14ac:dyDescent="0.3"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6"/>
      <c r="O28" s="6"/>
      <c r="P28" s="6"/>
      <c r="Q28" s="6"/>
      <c r="R28" s="2"/>
      <c r="S28" s="2"/>
    </row>
    <row r="29" spans="2:19" ht="45.6" customHeight="1" x14ac:dyDescent="0.25">
      <c r="B29" s="22" t="s">
        <v>28</v>
      </c>
      <c r="C29" s="19">
        <f>C26/C6</f>
        <v>3945</v>
      </c>
      <c r="D29" s="19">
        <f t="shared" ref="D29:M29" si="4">D26/D6</f>
        <v>124</v>
      </c>
      <c r="E29" s="19">
        <f t="shared" si="4"/>
        <v>124</v>
      </c>
      <c r="F29" s="19">
        <f t="shared" si="4"/>
        <v>21</v>
      </c>
      <c r="G29" s="19">
        <f t="shared" si="4"/>
        <v>21</v>
      </c>
      <c r="H29" s="19">
        <f t="shared" si="4"/>
        <v>28</v>
      </c>
      <c r="I29" s="19">
        <f t="shared" si="4"/>
        <v>28</v>
      </c>
      <c r="J29" s="19">
        <f t="shared" si="4"/>
        <v>2744</v>
      </c>
      <c r="K29" s="19">
        <f t="shared" si="4"/>
        <v>28</v>
      </c>
      <c r="L29" s="19">
        <f t="shared" si="4"/>
        <v>28</v>
      </c>
      <c r="M29" s="19">
        <f t="shared" si="4"/>
        <v>0</v>
      </c>
      <c r="N29" s="6"/>
      <c r="O29" s="6"/>
      <c r="P29" s="6"/>
      <c r="Q29" s="6"/>
      <c r="R29" s="2"/>
      <c r="S29" s="2"/>
    </row>
    <row r="30" spans="2:19" ht="23.45" customHeight="1" x14ac:dyDescent="0.3">
      <c r="B30" s="7"/>
      <c r="C30" s="10">
        <f>C29/C27</f>
        <v>1.3</v>
      </c>
      <c r="D30" s="10">
        <f t="shared" ref="D30:M30" si="5">D29/D27</f>
        <v>1</v>
      </c>
      <c r="E30" s="10">
        <f t="shared" si="5"/>
        <v>1</v>
      </c>
      <c r="F30" s="10">
        <f t="shared" si="5"/>
        <v>1</v>
      </c>
      <c r="G30" s="10">
        <f t="shared" si="5"/>
        <v>1</v>
      </c>
      <c r="H30" s="10">
        <f t="shared" si="5"/>
        <v>1.3</v>
      </c>
      <c r="I30" s="10">
        <f t="shared" si="5"/>
        <v>1.3</v>
      </c>
      <c r="J30" s="10">
        <f t="shared" si="5"/>
        <v>1.3</v>
      </c>
      <c r="K30" s="10">
        <f t="shared" si="5"/>
        <v>1.3</v>
      </c>
      <c r="L30" s="10">
        <f t="shared" si="5"/>
        <v>1.3</v>
      </c>
      <c r="M30" s="10" t="e">
        <f t="shared" si="5"/>
        <v>#DIV/0!</v>
      </c>
      <c r="N30" s="6"/>
      <c r="O30" s="6"/>
      <c r="P30" s="6"/>
      <c r="Q30" s="6"/>
      <c r="R30" s="2"/>
      <c r="S30" s="2"/>
    </row>
    <row r="31" spans="2:19" ht="61.9" customHeight="1" x14ac:dyDescent="0.25">
      <c r="B31" s="18" t="s">
        <v>60</v>
      </c>
      <c r="C31" s="6">
        <f>(C26+D26+E26+F26)/3/C6</f>
        <v>1405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2"/>
      <c r="S31" s="2"/>
    </row>
    <row r="32" spans="2:19" ht="63.6" customHeight="1" x14ac:dyDescent="0.25">
      <c r="B32" s="18" t="s">
        <v>51</v>
      </c>
      <c r="C32" s="6">
        <f>(G26+H26+I26+J26+K26+L26+M26)/8/F6</f>
        <v>360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2"/>
      <c r="S32" s="2"/>
    </row>
    <row r="33" spans="2:19" ht="70.150000000000006" customHeight="1" x14ac:dyDescent="0.25">
      <c r="B33" s="18" t="s">
        <v>52</v>
      </c>
      <c r="C33" s="6">
        <f>(I26+J26)/2/I6</f>
        <v>1386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"/>
      <c r="S33" s="2"/>
    </row>
    <row r="34" spans="2:19" ht="16.149999999999999" customHeight="1" x14ac:dyDescent="0.25">
      <c r="B34" s="3" t="s">
        <v>31</v>
      </c>
      <c r="C34" s="17"/>
      <c r="D34" s="23">
        <v>700</v>
      </c>
      <c r="E34" s="17"/>
      <c r="F34" s="17"/>
      <c r="G34" s="17"/>
      <c r="H34" s="17"/>
      <c r="I34" s="17"/>
      <c r="J34" s="17"/>
      <c r="K34" s="17"/>
      <c r="L34" s="17"/>
      <c r="M34" s="17"/>
      <c r="N34" s="6"/>
      <c r="O34" s="6"/>
      <c r="P34" s="6"/>
      <c r="Q34" s="6"/>
      <c r="R34" s="2"/>
      <c r="S34" s="2"/>
    </row>
    <row r="35" spans="2:19" ht="34.15" customHeight="1" x14ac:dyDescent="0.25">
      <c r="B35" s="18" t="s">
        <v>44</v>
      </c>
      <c r="C35" s="28"/>
      <c r="D35" s="23">
        <f>D37+D38</f>
        <v>429</v>
      </c>
      <c r="E35" s="28"/>
      <c r="F35" s="28"/>
      <c r="G35" s="28"/>
      <c r="H35" s="28"/>
      <c r="I35" s="28"/>
      <c r="J35" s="28"/>
      <c r="K35" s="28"/>
      <c r="L35" s="28"/>
      <c r="M35" s="28"/>
      <c r="N35" s="6"/>
      <c r="O35" s="6"/>
      <c r="P35" s="6"/>
      <c r="Q35" s="6"/>
      <c r="R35" s="2"/>
      <c r="S35" s="2"/>
    </row>
    <row r="36" spans="2:19" ht="17.45" customHeight="1" x14ac:dyDescent="0.25">
      <c r="B36" s="8" t="s">
        <v>24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2"/>
      <c r="S36" s="2"/>
    </row>
    <row r="37" spans="2:19" ht="16.149999999999999" customHeight="1" x14ac:dyDescent="0.25">
      <c r="B37" s="2" t="s">
        <v>42</v>
      </c>
      <c r="C37" s="6"/>
      <c r="D37" s="23">
        <f>179*1.1</f>
        <v>197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2"/>
      <c r="S37" s="2"/>
    </row>
    <row r="38" spans="2:19" ht="17.45" customHeight="1" x14ac:dyDescent="0.25">
      <c r="B38" s="2" t="s">
        <v>43</v>
      </c>
      <c r="C38" s="6"/>
      <c r="D38" s="23">
        <f>211*1.1</f>
        <v>232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2"/>
      <c r="S38" s="2"/>
    </row>
    <row r="39" spans="2:19" ht="12.6" customHeight="1" x14ac:dyDescent="0.3">
      <c r="B39" s="2"/>
      <c r="C39" s="6"/>
      <c r="D39" s="29">
        <f>D34/D38</f>
        <v>3.02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2"/>
      <c r="S39" s="2"/>
    </row>
    <row r="40" spans="2:19" s="2" customFormat="1" ht="6.6" hidden="1" customHeight="1" x14ac:dyDescent="0.3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9" s="2" customFormat="1" ht="6.6" customHeight="1" x14ac:dyDescent="0.3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9" s="2" customFormat="1" ht="49.15" customHeight="1" x14ac:dyDescent="0.25">
      <c r="B42" s="18" t="s">
        <v>27</v>
      </c>
      <c r="C42" s="24">
        <f>2818.12/2*1.1</f>
        <v>1550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9" s="2" customFormat="1" ht="49.15" customHeight="1" x14ac:dyDescent="0.25">
      <c r="B43" s="34" t="s">
        <v>34</v>
      </c>
      <c r="C43" s="42">
        <v>1125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9" s="2" customFormat="1" ht="37.9" customHeight="1" x14ac:dyDescent="0.25">
      <c r="B44" s="18" t="s">
        <v>39</v>
      </c>
      <c r="C44" s="17">
        <v>5250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9" s="2" customFormat="1" ht="26.45" customHeight="1" x14ac:dyDescent="0.3">
      <c r="C45" s="13">
        <f>C44/C42</f>
        <v>3.387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9" s="2" customFormat="1" ht="37.9" customHeight="1" x14ac:dyDescent="0.25">
      <c r="B46" s="34" t="s">
        <v>35</v>
      </c>
      <c r="C46" s="36">
        <v>4330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9" s="2" customFormat="1" ht="16.899999999999999" customHeight="1" x14ac:dyDescent="0.3">
      <c r="C47" s="26">
        <f>C46/C43</f>
        <v>3.8490000000000002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9" s="2" customFormat="1" ht="15" customHeight="1" x14ac:dyDescent="0.25">
      <c r="B48" s="2" t="s">
        <v>36</v>
      </c>
      <c r="C48" s="13">
        <f>C44/C46</f>
        <v>1.212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9" s="2" customFormat="1" ht="26.45" customHeight="1" x14ac:dyDescent="0.3">
      <c r="C49" s="2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9" s="2" customFormat="1" ht="47.45" customHeight="1" x14ac:dyDescent="0.25">
      <c r="B50" s="18" t="s">
        <v>29</v>
      </c>
      <c r="C50" s="10"/>
      <c r="D50" s="6"/>
      <c r="E50" s="6"/>
      <c r="F50" s="6"/>
      <c r="G50" s="6"/>
      <c r="H50" s="6"/>
      <c r="I50" s="6"/>
      <c r="J50" s="24">
        <f>901.88/2*1.3</f>
        <v>586.20000000000005</v>
      </c>
      <c r="K50" s="6"/>
      <c r="L50" s="6"/>
      <c r="M50" s="6"/>
      <c r="N50" s="6"/>
      <c r="O50" s="6"/>
      <c r="P50" s="6"/>
      <c r="Q50" s="6"/>
    </row>
    <row r="51" spans="2:19" s="2" customFormat="1" ht="47.45" customHeight="1" x14ac:dyDescent="0.25">
      <c r="B51" s="30" t="s">
        <v>37</v>
      </c>
      <c r="C51" s="31"/>
      <c r="D51" s="32"/>
      <c r="E51" s="32"/>
      <c r="F51" s="32"/>
      <c r="G51" s="32"/>
      <c r="H51" s="32"/>
      <c r="I51" s="32"/>
      <c r="J51" s="33">
        <v>880</v>
      </c>
      <c r="K51" s="6"/>
      <c r="L51" s="6"/>
      <c r="M51" s="6"/>
      <c r="N51" s="6"/>
      <c r="O51" s="6"/>
      <c r="P51" s="6"/>
      <c r="Q51" s="6"/>
    </row>
    <row r="52" spans="2:19" s="2" customFormat="1" ht="34.9" customHeight="1" x14ac:dyDescent="0.25">
      <c r="B52" s="18" t="s">
        <v>30</v>
      </c>
      <c r="C52" s="10"/>
      <c r="J52" s="38">
        <f>J50*4</f>
        <v>2344.8000000000002</v>
      </c>
      <c r="O52" s="6">
        <f>J52*201</f>
        <v>471305</v>
      </c>
    </row>
    <row r="53" spans="2:19" ht="15.75" x14ac:dyDescent="0.25">
      <c r="B53" s="2"/>
      <c r="C53" s="2"/>
      <c r="D53" s="2"/>
      <c r="E53" s="2"/>
      <c r="F53" s="2"/>
      <c r="G53" s="2"/>
      <c r="H53" s="2"/>
      <c r="I53" s="2"/>
      <c r="J53" s="27">
        <f>J52/J50</f>
        <v>4</v>
      </c>
      <c r="K53" s="2"/>
      <c r="L53" s="2"/>
      <c r="M53" s="2"/>
      <c r="N53" s="2"/>
      <c r="O53" s="2"/>
      <c r="P53" s="2"/>
      <c r="Q53" s="2"/>
      <c r="R53" s="2"/>
      <c r="S53" s="2"/>
    </row>
    <row r="54" spans="2:19" ht="31.5" x14ac:dyDescent="0.25">
      <c r="B54" s="34" t="s">
        <v>61</v>
      </c>
      <c r="C54" s="35"/>
      <c r="D54" s="35"/>
      <c r="E54" s="35"/>
      <c r="F54" s="35"/>
      <c r="G54" s="35"/>
      <c r="H54" s="35"/>
      <c r="I54" s="35"/>
      <c r="J54" s="36">
        <v>5320</v>
      </c>
      <c r="K54" s="2"/>
      <c r="L54" s="2"/>
      <c r="M54" s="2"/>
      <c r="N54" s="2"/>
      <c r="O54" s="2"/>
      <c r="P54" s="2"/>
      <c r="Q54" s="2"/>
      <c r="R54" s="2"/>
      <c r="S54" s="2"/>
    </row>
    <row r="55" spans="2:19" ht="12.6" customHeight="1" x14ac:dyDescent="0.25">
      <c r="B55" s="2"/>
      <c r="C55" s="2"/>
      <c r="D55" s="2"/>
      <c r="E55" s="2"/>
      <c r="F55" s="2"/>
      <c r="G55" s="2"/>
      <c r="H55" s="2"/>
      <c r="I55" s="2"/>
      <c r="J55" s="27">
        <f>J54/J51</f>
        <v>6.0449999999999999</v>
      </c>
      <c r="K55" s="2"/>
      <c r="L55" s="2"/>
      <c r="M55" s="2"/>
      <c r="N55" s="2"/>
      <c r="O55" s="2"/>
      <c r="P55" s="2"/>
      <c r="Q55" s="2"/>
      <c r="R55" s="2"/>
      <c r="S55" s="2"/>
    </row>
    <row r="56" spans="2:19" ht="15.75" x14ac:dyDescent="0.25">
      <c r="B56" s="2" t="s">
        <v>36</v>
      </c>
      <c r="C56" s="2"/>
      <c r="D56" s="2"/>
      <c r="E56" s="2"/>
      <c r="F56" s="2"/>
      <c r="G56" s="2"/>
      <c r="H56" s="2"/>
      <c r="I56" s="2"/>
      <c r="J56" s="27">
        <f>J52/J54</f>
        <v>0.441</v>
      </c>
      <c r="K56" s="2"/>
      <c r="L56" s="2"/>
      <c r="M56" s="2"/>
      <c r="N56" s="2"/>
      <c r="O56" s="2"/>
      <c r="P56" s="2"/>
      <c r="Q56" s="2"/>
      <c r="R56" s="2"/>
      <c r="S56" s="2"/>
    </row>
    <row r="57" spans="2:19" ht="8.4499999999999993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61.9" customHeight="1" x14ac:dyDescent="0.25">
      <c r="B58" s="18" t="s">
        <v>45</v>
      </c>
      <c r="C58" s="24">
        <f>C27+C35+C42+C50</f>
        <v>4585</v>
      </c>
      <c r="D58" s="24">
        <f t="shared" ref="D58:M58" si="6">D27+D35+D42+D50</f>
        <v>553</v>
      </c>
      <c r="E58" s="24">
        <f t="shared" si="6"/>
        <v>124</v>
      </c>
      <c r="F58" s="24">
        <f>F27+F35+F42+F50</f>
        <v>21</v>
      </c>
      <c r="G58" s="24">
        <f t="shared" si="6"/>
        <v>21</v>
      </c>
      <c r="H58" s="24">
        <f t="shared" si="6"/>
        <v>21</v>
      </c>
      <c r="I58" s="24">
        <f t="shared" si="6"/>
        <v>21</v>
      </c>
      <c r="J58" s="24">
        <f>J27+J35+J42+J50</f>
        <v>2697.2</v>
      </c>
      <c r="K58" s="24">
        <f t="shared" si="6"/>
        <v>21</v>
      </c>
      <c r="L58" s="24">
        <f t="shared" si="6"/>
        <v>21</v>
      </c>
      <c r="M58" s="24">
        <f t="shared" si="6"/>
        <v>0</v>
      </c>
      <c r="N58" s="2"/>
      <c r="O58" s="2"/>
      <c r="P58" s="2"/>
      <c r="Q58" s="2"/>
      <c r="R58" s="2"/>
      <c r="S58" s="2"/>
    </row>
    <row r="59" spans="2:19" ht="75" customHeight="1" x14ac:dyDescent="0.25">
      <c r="B59" s="18" t="s">
        <v>41</v>
      </c>
      <c r="C59" s="17">
        <f>C29+C34+C44+C54</f>
        <v>9195</v>
      </c>
      <c r="D59" s="17">
        <f t="shared" ref="D59:E59" si="7">D29+D34+D44+D54</f>
        <v>824</v>
      </c>
      <c r="E59" s="17">
        <f t="shared" si="7"/>
        <v>124</v>
      </c>
      <c r="F59" s="17">
        <f t="shared" ref="F59:M59" si="8">F29+F34+F44+F52</f>
        <v>21</v>
      </c>
      <c r="G59" s="17">
        <f t="shared" si="8"/>
        <v>21</v>
      </c>
      <c r="H59" s="17">
        <f t="shared" si="8"/>
        <v>28</v>
      </c>
      <c r="I59" s="17">
        <f t="shared" si="8"/>
        <v>28</v>
      </c>
      <c r="J59" s="17">
        <f t="shared" si="8"/>
        <v>5089</v>
      </c>
      <c r="K59" s="17">
        <f t="shared" si="8"/>
        <v>28</v>
      </c>
      <c r="L59" s="17">
        <f t="shared" si="8"/>
        <v>28</v>
      </c>
      <c r="M59" s="17">
        <f t="shared" si="8"/>
        <v>0</v>
      </c>
      <c r="N59" s="2"/>
      <c r="O59" s="2"/>
      <c r="P59" s="2"/>
      <c r="Q59" s="2"/>
      <c r="R59" s="2"/>
      <c r="S59" s="2"/>
    </row>
    <row r="60" spans="2:19" ht="9" customHeight="1" x14ac:dyDescent="0.25"/>
    <row r="61" spans="2:19" ht="60" customHeight="1" x14ac:dyDescent="0.25">
      <c r="B61" s="18" t="s">
        <v>54</v>
      </c>
      <c r="C61" s="39">
        <f>(C58+D58+E58)/2</f>
        <v>2631</v>
      </c>
    </row>
    <row r="62" spans="2:19" ht="49.15" customHeight="1" x14ac:dyDescent="0.25">
      <c r="B62" s="18" t="s">
        <v>55</v>
      </c>
      <c r="C62" s="40">
        <f>(C59+D59+E59)/2</f>
        <v>5072</v>
      </c>
    </row>
    <row r="63" spans="2:19" ht="4.1500000000000004" customHeight="1" x14ac:dyDescent="0.25"/>
    <row r="64" spans="2:19" ht="63" x14ac:dyDescent="0.25">
      <c r="B64" s="18" t="s">
        <v>56</v>
      </c>
      <c r="C64" s="39">
        <f>(F58+G58+H58+I58+J58+K58+L58+M58)/8</f>
        <v>352.9</v>
      </c>
    </row>
    <row r="65" spans="2:4" ht="63" x14ac:dyDescent="0.25">
      <c r="B65" s="18" t="s">
        <v>57</v>
      </c>
      <c r="C65" s="40">
        <f>(F59+G59+H59+I59+J59+K59+L59+M59)/8</f>
        <v>655</v>
      </c>
    </row>
    <row r="67" spans="2:4" x14ac:dyDescent="0.25">
      <c r="C67" s="37" t="e">
        <f>C65-#REF!</f>
        <v>#REF!</v>
      </c>
      <c r="D67" s="1" t="e">
        <f>C67*8</f>
        <v>#REF!</v>
      </c>
    </row>
    <row r="68" spans="2:4" ht="63" x14ac:dyDescent="0.25">
      <c r="B68" s="18" t="s">
        <v>48</v>
      </c>
      <c r="C68" s="41">
        <f>(I58+J58)/2</f>
        <v>1359</v>
      </c>
    </row>
    <row r="69" spans="2:4" ht="63" x14ac:dyDescent="0.25">
      <c r="B69" s="18" t="s">
        <v>49</v>
      </c>
      <c r="C69" s="40">
        <f>(I59+J59)/2</f>
        <v>2559</v>
      </c>
    </row>
  </sheetData>
  <mergeCells count="3">
    <mergeCell ref="B3:M3"/>
    <mergeCell ref="A4:M4"/>
    <mergeCell ref="C10:M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6" tint="-0.249977111117893"/>
  </sheetPr>
  <dimension ref="A1:S67"/>
  <sheetViews>
    <sheetView topLeftCell="A17" workbookViewId="0">
      <selection activeCell="E27" sqref="E27"/>
    </sheetView>
  </sheetViews>
  <sheetFormatPr defaultRowHeight="12.75" x14ac:dyDescent="0.2"/>
  <cols>
    <col min="1" max="1" width="4.85546875" style="44" customWidth="1"/>
    <col min="2" max="2" width="39.85546875" style="44" customWidth="1"/>
    <col min="3" max="3" width="5.42578125" style="44" customWidth="1"/>
    <col min="4" max="4" width="10.28515625" style="44" customWidth="1"/>
    <col min="5" max="5" width="9.5703125" style="44" customWidth="1"/>
    <col min="6" max="6" width="8.7109375" style="44" customWidth="1"/>
    <col min="7" max="7" width="9.5703125" style="44" customWidth="1"/>
    <col min="8" max="8" width="8.7109375" style="44" customWidth="1"/>
    <col min="9" max="9" width="10.85546875" style="44" customWidth="1"/>
    <col min="10" max="10" width="8.85546875" style="44"/>
    <col min="11" max="19" width="0" style="44" hidden="1" customWidth="1"/>
    <col min="20" max="186" width="8.85546875" style="44"/>
    <col min="187" max="187" width="4.85546875" style="44" customWidth="1"/>
    <col min="188" max="192" width="0" style="44" hidden="1" customWidth="1"/>
    <col min="193" max="193" width="39.42578125" style="44" customWidth="1"/>
    <col min="194" max="194" width="5.42578125" style="44" customWidth="1"/>
    <col min="195" max="202" width="7.140625" style="44" customWidth="1"/>
    <col min="203" max="206" width="7.28515625" style="44" customWidth="1"/>
    <col min="207" max="210" width="7.42578125" style="44" customWidth="1"/>
    <col min="211" max="214" width="7.28515625" style="44" customWidth="1"/>
    <col min="215" max="218" width="7.7109375" style="44" customWidth="1"/>
    <col min="219" max="219" width="1.140625" style="44" customWidth="1"/>
    <col min="220" max="220" width="0.85546875" style="44" customWidth="1"/>
    <col min="221" max="224" width="6.5703125" style="44" customWidth="1"/>
    <col min="225" max="232" width="0" style="44" hidden="1" customWidth="1"/>
    <col min="233" max="233" width="9.5703125" style="44" customWidth="1"/>
    <col min="234" max="237" width="6.85546875" style="44" customWidth="1"/>
    <col min="238" max="253" width="7.28515625" style="44" customWidth="1"/>
    <col min="254" max="254" width="0.85546875" style="44" customWidth="1"/>
    <col min="255" max="442" width="8.85546875" style="44"/>
    <col min="443" max="443" width="4.85546875" style="44" customWidth="1"/>
    <col min="444" max="448" width="0" style="44" hidden="1" customWidth="1"/>
    <col min="449" max="449" width="39.42578125" style="44" customWidth="1"/>
    <col min="450" max="450" width="5.42578125" style="44" customWidth="1"/>
    <col min="451" max="458" width="7.140625" style="44" customWidth="1"/>
    <col min="459" max="462" width="7.28515625" style="44" customWidth="1"/>
    <col min="463" max="466" width="7.42578125" style="44" customWidth="1"/>
    <col min="467" max="470" width="7.28515625" style="44" customWidth="1"/>
    <col min="471" max="474" width="7.7109375" style="44" customWidth="1"/>
    <col min="475" max="475" width="1.140625" style="44" customWidth="1"/>
    <col min="476" max="476" width="0.85546875" style="44" customWidth="1"/>
    <col min="477" max="480" width="6.5703125" style="44" customWidth="1"/>
    <col min="481" max="488" width="0" style="44" hidden="1" customWidth="1"/>
    <col min="489" max="489" width="9.5703125" style="44" customWidth="1"/>
    <col min="490" max="493" width="6.85546875" style="44" customWidth="1"/>
    <col min="494" max="509" width="7.28515625" style="44" customWidth="1"/>
    <col min="510" max="510" width="0.85546875" style="44" customWidth="1"/>
    <col min="511" max="698" width="8.85546875" style="44"/>
    <col min="699" max="699" width="4.85546875" style="44" customWidth="1"/>
    <col min="700" max="704" width="0" style="44" hidden="1" customWidth="1"/>
    <col min="705" max="705" width="39.42578125" style="44" customWidth="1"/>
    <col min="706" max="706" width="5.42578125" style="44" customWidth="1"/>
    <col min="707" max="714" width="7.140625" style="44" customWidth="1"/>
    <col min="715" max="718" width="7.28515625" style="44" customWidth="1"/>
    <col min="719" max="722" width="7.42578125" style="44" customWidth="1"/>
    <col min="723" max="726" width="7.28515625" style="44" customWidth="1"/>
    <col min="727" max="730" width="7.7109375" style="44" customWidth="1"/>
    <col min="731" max="731" width="1.140625" style="44" customWidth="1"/>
    <col min="732" max="732" width="0.85546875" style="44" customWidth="1"/>
    <col min="733" max="736" width="6.5703125" style="44" customWidth="1"/>
    <col min="737" max="744" width="0" style="44" hidden="1" customWidth="1"/>
    <col min="745" max="745" width="9.5703125" style="44" customWidth="1"/>
    <col min="746" max="749" width="6.85546875" style="44" customWidth="1"/>
    <col min="750" max="765" width="7.28515625" style="44" customWidth="1"/>
    <col min="766" max="766" width="0.85546875" style="44" customWidth="1"/>
    <col min="767" max="954" width="8.85546875" style="44"/>
    <col min="955" max="955" width="4.85546875" style="44" customWidth="1"/>
    <col min="956" max="960" width="0" style="44" hidden="1" customWidth="1"/>
    <col min="961" max="961" width="39.42578125" style="44" customWidth="1"/>
    <col min="962" max="962" width="5.42578125" style="44" customWidth="1"/>
    <col min="963" max="970" width="7.140625" style="44" customWidth="1"/>
    <col min="971" max="974" width="7.28515625" style="44" customWidth="1"/>
    <col min="975" max="978" width="7.42578125" style="44" customWidth="1"/>
    <col min="979" max="982" width="7.28515625" style="44" customWidth="1"/>
    <col min="983" max="986" width="7.7109375" style="44" customWidth="1"/>
    <col min="987" max="987" width="1.140625" style="44" customWidth="1"/>
    <col min="988" max="988" width="0.85546875" style="44" customWidth="1"/>
    <col min="989" max="992" width="6.5703125" style="44" customWidth="1"/>
    <col min="993" max="1000" width="0" style="44" hidden="1" customWidth="1"/>
    <col min="1001" max="1001" width="9.5703125" style="44" customWidth="1"/>
    <col min="1002" max="1005" width="6.85546875" style="44" customWidth="1"/>
    <col min="1006" max="1021" width="7.28515625" style="44" customWidth="1"/>
    <col min="1022" max="1022" width="0.85546875" style="44" customWidth="1"/>
    <col min="1023" max="1210" width="8.85546875" style="44"/>
    <col min="1211" max="1211" width="4.85546875" style="44" customWidth="1"/>
    <col min="1212" max="1216" width="0" style="44" hidden="1" customWidth="1"/>
    <col min="1217" max="1217" width="39.42578125" style="44" customWidth="1"/>
    <col min="1218" max="1218" width="5.42578125" style="44" customWidth="1"/>
    <col min="1219" max="1226" width="7.140625" style="44" customWidth="1"/>
    <col min="1227" max="1230" width="7.28515625" style="44" customWidth="1"/>
    <col min="1231" max="1234" width="7.42578125" style="44" customWidth="1"/>
    <col min="1235" max="1238" width="7.28515625" style="44" customWidth="1"/>
    <col min="1239" max="1242" width="7.7109375" style="44" customWidth="1"/>
    <col min="1243" max="1243" width="1.140625" style="44" customWidth="1"/>
    <col min="1244" max="1244" width="0.85546875" style="44" customWidth="1"/>
    <col min="1245" max="1248" width="6.5703125" style="44" customWidth="1"/>
    <col min="1249" max="1256" width="0" style="44" hidden="1" customWidth="1"/>
    <col min="1257" max="1257" width="9.5703125" style="44" customWidth="1"/>
    <col min="1258" max="1261" width="6.85546875" style="44" customWidth="1"/>
    <col min="1262" max="1277" width="7.28515625" style="44" customWidth="1"/>
    <col min="1278" max="1278" width="0.85546875" style="44" customWidth="1"/>
    <col min="1279" max="1466" width="8.85546875" style="44"/>
    <col min="1467" max="1467" width="4.85546875" style="44" customWidth="1"/>
    <col min="1468" max="1472" width="0" style="44" hidden="1" customWidth="1"/>
    <col min="1473" max="1473" width="39.42578125" style="44" customWidth="1"/>
    <col min="1474" max="1474" width="5.42578125" style="44" customWidth="1"/>
    <col min="1475" max="1482" width="7.140625" style="44" customWidth="1"/>
    <col min="1483" max="1486" width="7.28515625" style="44" customWidth="1"/>
    <col min="1487" max="1490" width="7.42578125" style="44" customWidth="1"/>
    <col min="1491" max="1494" width="7.28515625" style="44" customWidth="1"/>
    <col min="1495" max="1498" width="7.7109375" style="44" customWidth="1"/>
    <col min="1499" max="1499" width="1.140625" style="44" customWidth="1"/>
    <col min="1500" max="1500" width="0.85546875" style="44" customWidth="1"/>
    <col min="1501" max="1504" width="6.5703125" style="44" customWidth="1"/>
    <col min="1505" max="1512" width="0" style="44" hidden="1" customWidth="1"/>
    <col min="1513" max="1513" width="9.5703125" style="44" customWidth="1"/>
    <col min="1514" max="1517" width="6.85546875" style="44" customWidth="1"/>
    <col min="1518" max="1533" width="7.28515625" style="44" customWidth="1"/>
    <col min="1534" max="1534" width="0.85546875" style="44" customWidth="1"/>
    <col min="1535" max="1722" width="8.85546875" style="44"/>
    <col min="1723" max="1723" width="4.85546875" style="44" customWidth="1"/>
    <col min="1724" max="1728" width="0" style="44" hidden="1" customWidth="1"/>
    <col min="1729" max="1729" width="39.42578125" style="44" customWidth="1"/>
    <col min="1730" max="1730" width="5.42578125" style="44" customWidth="1"/>
    <col min="1731" max="1738" width="7.140625" style="44" customWidth="1"/>
    <col min="1739" max="1742" width="7.28515625" style="44" customWidth="1"/>
    <col min="1743" max="1746" width="7.42578125" style="44" customWidth="1"/>
    <col min="1747" max="1750" width="7.28515625" style="44" customWidth="1"/>
    <col min="1751" max="1754" width="7.7109375" style="44" customWidth="1"/>
    <col min="1755" max="1755" width="1.140625" style="44" customWidth="1"/>
    <col min="1756" max="1756" width="0.85546875" style="44" customWidth="1"/>
    <col min="1757" max="1760" width="6.5703125" style="44" customWidth="1"/>
    <col min="1761" max="1768" width="0" style="44" hidden="1" customWidth="1"/>
    <col min="1769" max="1769" width="9.5703125" style="44" customWidth="1"/>
    <col min="1770" max="1773" width="6.85546875" style="44" customWidth="1"/>
    <col min="1774" max="1789" width="7.28515625" style="44" customWidth="1"/>
    <col min="1790" max="1790" width="0.85546875" style="44" customWidth="1"/>
    <col min="1791" max="1978" width="8.85546875" style="44"/>
    <col min="1979" max="1979" width="4.85546875" style="44" customWidth="1"/>
    <col min="1980" max="1984" width="0" style="44" hidden="1" customWidth="1"/>
    <col min="1985" max="1985" width="39.42578125" style="44" customWidth="1"/>
    <col min="1986" max="1986" width="5.42578125" style="44" customWidth="1"/>
    <col min="1987" max="1994" width="7.140625" style="44" customWidth="1"/>
    <col min="1995" max="1998" width="7.28515625" style="44" customWidth="1"/>
    <col min="1999" max="2002" width="7.42578125" style="44" customWidth="1"/>
    <col min="2003" max="2006" width="7.28515625" style="44" customWidth="1"/>
    <col min="2007" max="2010" width="7.7109375" style="44" customWidth="1"/>
    <col min="2011" max="2011" width="1.140625" style="44" customWidth="1"/>
    <col min="2012" max="2012" width="0.85546875" style="44" customWidth="1"/>
    <col min="2013" max="2016" width="6.5703125" style="44" customWidth="1"/>
    <col min="2017" max="2024" width="0" style="44" hidden="1" customWidth="1"/>
    <col min="2025" max="2025" width="9.5703125" style="44" customWidth="1"/>
    <col min="2026" max="2029" width="6.85546875" style="44" customWidth="1"/>
    <col min="2030" max="2045" width="7.28515625" style="44" customWidth="1"/>
    <col min="2046" max="2046" width="0.85546875" style="44" customWidth="1"/>
    <col min="2047" max="2234" width="8.85546875" style="44"/>
    <col min="2235" max="2235" width="4.85546875" style="44" customWidth="1"/>
    <col min="2236" max="2240" width="0" style="44" hidden="1" customWidth="1"/>
    <col min="2241" max="2241" width="39.42578125" style="44" customWidth="1"/>
    <col min="2242" max="2242" width="5.42578125" style="44" customWidth="1"/>
    <col min="2243" max="2250" width="7.140625" style="44" customWidth="1"/>
    <col min="2251" max="2254" width="7.28515625" style="44" customWidth="1"/>
    <col min="2255" max="2258" width="7.42578125" style="44" customWidth="1"/>
    <col min="2259" max="2262" width="7.28515625" style="44" customWidth="1"/>
    <col min="2263" max="2266" width="7.7109375" style="44" customWidth="1"/>
    <col min="2267" max="2267" width="1.140625" style="44" customWidth="1"/>
    <col min="2268" max="2268" width="0.85546875" style="44" customWidth="1"/>
    <col min="2269" max="2272" width="6.5703125" style="44" customWidth="1"/>
    <col min="2273" max="2280" width="0" style="44" hidden="1" customWidth="1"/>
    <col min="2281" max="2281" width="9.5703125" style="44" customWidth="1"/>
    <col min="2282" max="2285" width="6.85546875" style="44" customWidth="1"/>
    <col min="2286" max="2301" width="7.28515625" style="44" customWidth="1"/>
    <col min="2302" max="2302" width="0.85546875" style="44" customWidth="1"/>
    <col min="2303" max="2490" width="8.85546875" style="44"/>
    <col min="2491" max="2491" width="4.85546875" style="44" customWidth="1"/>
    <col min="2492" max="2496" width="0" style="44" hidden="1" customWidth="1"/>
    <col min="2497" max="2497" width="39.42578125" style="44" customWidth="1"/>
    <col min="2498" max="2498" width="5.42578125" style="44" customWidth="1"/>
    <col min="2499" max="2506" width="7.140625" style="44" customWidth="1"/>
    <col min="2507" max="2510" width="7.28515625" style="44" customWidth="1"/>
    <col min="2511" max="2514" width="7.42578125" style="44" customWidth="1"/>
    <col min="2515" max="2518" width="7.28515625" style="44" customWidth="1"/>
    <col min="2519" max="2522" width="7.7109375" style="44" customWidth="1"/>
    <col min="2523" max="2523" width="1.140625" style="44" customWidth="1"/>
    <col min="2524" max="2524" width="0.85546875" style="44" customWidth="1"/>
    <col min="2525" max="2528" width="6.5703125" style="44" customWidth="1"/>
    <col min="2529" max="2536" width="0" style="44" hidden="1" customWidth="1"/>
    <col min="2537" max="2537" width="9.5703125" style="44" customWidth="1"/>
    <col min="2538" max="2541" width="6.85546875" style="44" customWidth="1"/>
    <col min="2542" max="2557" width="7.28515625" style="44" customWidth="1"/>
    <col min="2558" max="2558" width="0.85546875" style="44" customWidth="1"/>
    <col min="2559" max="2746" width="8.85546875" style="44"/>
    <col min="2747" max="2747" width="4.85546875" style="44" customWidth="1"/>
    <col min="2748" max="2752" width="0" style="44" hidden="1" customWidth="1"/>
    <col min="2753" max="2753" width="39.42578125" style="44" customWidth="1"/>
    <col min="2754" max="2754" width="5.42578125" style="44" customWidth="1"/>
    <col min="2755" max="2762" width="7.140625" style="44" customWidth="1"/>
    <col min="2763" max="2766" width="7.28515625" style="44" customWidth="1"/>
    <col min="2767" max="2770" width="7.42578125" style="44" customWidth="1"/>
    <col min="2771" max="2774" width="7.28515625" style="44" customWidth="1"/>
    <col min="2775" max="2778" width="7.7109375" style="44" customWidth="1"/>
    <col min="2779" max="2779" width="1.140625" style="44" customWidth="1"/>
    <col min="2780" max="2780" width="0.85546875" style="44" customWidth="1"/>
    <col min="2781" max="2784" width="6.5703125" style="44" customWidth="1"/>
    <col min="2785" max="2792" width="0" style="44" hidden="1" customWidth="1"/>
    <col min="2793" max="2793" width="9.5703125" style="44" customWidth="1"/>
    <col min="2794" max="2797" width="6.85546875" style="44" customWidth="1"/>
    <col min="2798" max="2813" width="7.28515625" style="44" customWidth="1"/>
    <col min="2814" max="2814" width="0.85546875" style="44" customWidth="1"/>
    <col min="2815" max="3002" width="8.85546875" style="44"/>
    <col min="3003" max="3003" width="4.85546875" style="44" customWidth="1"/>
    <col min="3004" max="3008" width="0" style="44" hidden="1" customWidth="1"/>
    <col min="3009" max="3009" width="39.42578125" style="44" customWidth="1"/>
    <col min="3010" max="3010" width="5.42578125" style="44" customWidth="1"/>
    <col min="3011" max="3018" width="7.140625" style="44" customWidth="1"/>
    <col min="3019" max="3022" width="7.28515625" style="44" customWidth="1"/>
    <col min="3023" max="3026" width="7.42578125" style="44" customWidth="1"/>
    <col min="3027" max="3030" width="7.28515625" style="44" customWidth="1"/>
    <col min="3031" max="3034" width="7.7109375" style="44" customWidth="1"/>
    <col min="3035" max="3035" width="1.140625" style="44" customWidth="1"/>
    <col min="3036" max="3036" width="0.85546875" style="44" customWidth="1"/>
    <col min="3037" max="3040" width="6.5703125" style="44" customWidth="1"/>
    <col min="3041" max="3048" width="0" style="44" hidden="1" customWidth="1"/>
    <col min="3049" max="3049" width="9.5703125" style="44" customWidth="1"/>
    <col min="3050" max="3053" width="6.85546875" style="44" customWidth="1"/>
    <col min="3054" max="3069" width="7.28515625" style="44" customWidth="1"/>
    <col min="3070" max="3070" width="0.85546875" style="44" customWidth="1"/>
    <col min="3071" max="3258" width="8.85546875" style="44"/>
    <col min="3259" max="3259" width="4.85546875" style="44" customWidth="1"/>
    <col min="3260" max="3264" width="0" style="44" hidden="1" customWidth="1"/>
    <col min="3265" max="3265" width="39.42578125" style="44" customWidth="1"/>
    <col min="3266" max="3266" width="5.42578125" style="44" customWidth="1"/>
    <col min="3267" max="3274" width="7.140625" style="44" customWidth="1"/>
    <col min="3275" max="3278" width="7.28515625" style="44" customWidth="1"/>
    <col min="3279" max="3282" width="7.42578125" style="44" customWidth="1"/>
    <col min="3283" max="3286" width="7.28515625" style="44" customWidth="1"/>
    <col min="3287" max="3290" width="7.7109375" style="44" customWidth="1"/>
    <col min="3291" max="3291" width="1.140625" style="44" customWidth="1"/>
    <col min="3292" max="3292" width="0.85546875" style="44" customWidth="1"/>
    <col min="3293" max="3296" width="6.5703125" style="44" customWidth="1"/>
    <col min="3297" max="3304" width="0" style="44" hidden="1" customWidth="1"/>
    <col min="3305" max="3305" width="9.5703125" style="44" customWidth="1"/>
    <col min="3306" max="3309" width="6.85546875" style="44" customWidth="1"/>
    <col min="3310" max="3325" width="7.28515625" style="44" customWidth="1"/>
    <col min="3326" max="3326" width="0.85546875" style="44" customWidth="1"/>
    <col min="3327" max="3514" width="8.85546875" style="44"/>
    <col min="3515" max="3515" width="4.85546875" style="44" customWidth="1"/>
    <col min="3516" max="3520" width="0" style="44" hidden="1" customWidth="1"/>
    <col min="3521" max="3521" width="39.42578125" style="44" customWidth="1"/>
    <col min="3522" max="3522" width="5.42578125" style="44" customWidth="1"/>
    <col min="3523" max="3530" width="7.140625" style="44" customWidth="1"/>
    <col min="3531" max="3534" width="7.28515625" style="44" customWidth="1"/>
    <col min="3535" max="3538" width="7.42578125" style="44" customWidth="1"/>
    <col min="3539" max="3542" width="7.28515625" style="44" customWidth="1"/>
    <col min="3543" max="3546" width="7.7109375" style="44" customWidth="1"/>
    <col min="3547" max="3547" width="1.140625" style="44" customWidth="1"/>
    <col min="3548" max="3548" width="0.85546875" style="44" customWidth="1"/>
    <col min="3549" max="3552" width="6.5703125" style="44" customWidth="1"/>
    <col min="3553" max="3560" width="0" style="44" hidden="1" customWidth="1"/>
    <col min="3561" max="3561" width="9.5703125" style="44" customWidth="1"/>
    <col min="3562" max="3565" width="6.85546875" style="44" customWidth="1"/>
    <col min="3566" max="3581" width="7.28515625" style="44" customWidth="1"/>
    <col min="3582" max="3582" width="0.85546875" style="44" customWidth="1"/>
    <col min="3583" max="3770" width="8.85546875" style="44"/>
    <col min="3771" max="3771" width="4.85546875" style="44" customWidth="1"/>
    <col min="3772" max="3776" width="0" style="44" hidden="1" customWidth="1"/>
    <col min="3777" max="3777" width="39.42578125" style="44" customWidth="1"/>
    <col min="3778" max="3778" width="5.42578125" style="44" customWidth="1"/>
    <col min="3779" max="3786" width="7.140625" style="44" customWidth="1"/>
    <col min="3787" max="3790" width="7.28515625" style="44" customWidth="1"/>
    <col min="3791" max="3794" width="7.42578125" style="44" customWidth="1"/>
    <col min="3795" max="3798" width="7.28515625" style="44" customWidth="1"/>
    <col min="3799" max="3802" width="7.7109375" style="44" customWidth="1"/>
    <col min="3803" max="3803" width="1.140625" style="44" customWidth="1"/>
    <col min="3804" max="3804" width="0.85546875" style="44" customWidth="1"/>
    <col min="3805" max="3808" width="6.5703125" style="44" customWidth="1"/>
    <col min="3809" max="3816" width="0" style="44" hidden="1" customWidth="1"/>
    <col min="3817" max="3817" width="9.5703125" style="44" customWidth="1"/>
    <col min="3818" max="3821" width="6.85546875" style="44" customWidth="1"/>
    <col min="3822" max="3837" width="7.28515625" style="44" customWidth="1"/>
    <col min="3838" max="3838" width="0.85546875" style="44" customWidth="1"/>
    <col min="3839" max="4026" width="8.85546875" style="44"/>
    <col min="4027" max="4027" width="4.85546875" style="44" customWidth="1"/>
    <col min="4028" max="4032" width="0" style="44" hidden="1" customWidth="1"/>
    <col min="4033" max="4033" width="39.42578125" style="44" customWidth="1"/>
    <col min="4034" max="4034" width="5.42578125" style="44" customWidth="1"/>
    <col min="4035" max="4042" width="7.140625" style="44" customWidth="1"/>
    <col min="4043" max="4046" width="7.28515625" style="44" customWidth="1"/>
    <col min="4047" max="4050" width="7.42578125" style="44" customWidth="1"/>
    <col min="4051" max="4054" width="7.28515625" style="44" customWidth="1"/>
    <col min="4055" max="4058" width="7.7109375" style="44" customWidth="1"/>
    <col min="4059" max="4059" width="1.140625" style="44" customWidth="1"/>
    <col min="4060" max="4060" width="0.85546875" style="44" customWidth="1"/>
    <col min="4061" max="4064" width="6.5703125" style="44" customWidth="1"/>
    <col min="4065" max="4072" width="0" style="44" hidden="1" customWidth="1"/>
    <col min="4073" max="4073" width="9.5703125" style="44" customWidth="1"/>
    <col min="4074" max="4077" width="6.85546875" style="44" customWidth="1"/>
    <col min="4078" max="4093" width="7.28515625" style="44" customWidth="1"/>
    <col min="4094" max="4094" width="0.85546875" style="44" customWidth="1"/>
    <col min="4095" max="4282" width="8.85546875" style="44"/>
    <col min="4283" max="4283" width="4.85546875" style="44" customWidth="1"/>
    <col min="4284" max="4288" width="0" style="44" hidden="1" customWidth="1"/>
    <col min="4289" max="4289" width="39.42578125" style="44" customWidth="1"/>
    <col min="4290" max="4290" width="5.42578125" style="44" customWidth="1"/>
    <col min="4291" max="4298" width="7.140625" style="44" customWidth="1"/>
    <col min="4299" max="4302" width="7.28515625" style="44" customWidth="1"/>
    <col min="4303" max="4306" width="7.42578125" style="44" customWidth="1"/>
    <col min="4307" max="4310" width="7.28515625" style="44" customWidth="1"/>
    <col min="4311" max="4314" width="7.7109375" style="44" customWidth="1"/>
    <col min="4315" max="4315" width="1.140625" style="44" customWidth="1"/>
    <col min="4316" max="4316" width="0.85546875" style="44" customWidth="1"/>
    <col min="4317" max="4320" width="6.5703125" style="44" customWidth="1"/>
    <col min="4321" max="4328" width="0" style="44" hidden="1" customWidth="1"/>
    <col min="4329" max="4329" width="9.5703125" style="44" customWidth="1"/>
    <col min="4330" max="4333" width="6.85546875" style="44" customWidth="1"/>
    <col min="4334" max="4349" width="7.28515625" style="44" customWidth="1"/>
    <col min="4350" max="4350" width="0.85546875" style="44" customWidth="1"/>
    <col min="4351" max="4538" width="8.85546875" style="44"/>
    <col min="4539" max="4539" width="4.85546875" style="44" customWidth="1"/>
    <col min="4540" max="4544" width="0" style="44" hidden="1" customWidth="1"/>
    <col min="4545" max="4545" width="39.42578125" style="44" customWidth="1"/>
    <col min="4546" max="4546" width="5.42578125" style="44" customWidth="1"/>
    <col min="4547" max="4554" width="7.140625" style="44" customWidth="1"/>
    <col min="4555" max="4558" width="7.28515625" style="44" customWidth="1"/>
    <col min="4559" max="4562" width="7.42578125" style="44" customWidth="1"/>
    <col min="4563" max="4566" width="7.28515625" style="44" customWidth="1"/>
    <col min="4567" max="4570" width="7.7109375" style="44" customWidth="1"/>
    <col min="4571" max="4571" width="1.140625" style="44" customWidth="1"/>
    <col min="4572" max="4572" width="0.85546875" style="44" customWidth="1"/>
    <col min="4573" max="4576" width="6.5703125" style="44" customWidth="1"/>
    <col min="4577" max="4584" width="0" style="44" hidden="1" customWidth="1"/>
    <col min="4585" max="4585" width="9.5703125" style="44" customWidth="1"/>
    <col min="4586" max="4589" width="6.85546875" style="44" customWidth="1"/>
    <col min="4590" max="4605" width="7.28515625" style="44" customWidth="1"/>
    <col min="4606" max="4606" width="0.85546875" style="44" customWidth="1"/>
    <col min="4607" max="4794" width="8.85546875" style="44"/>
    <col min="4795" max="4795" width="4.85546875" style="44" customWidth="1"/>
    <col min="4796" max="4800" width="0" style="44" hidden="1" customWidth="1"/>
    <col min="4801" max="4801" width="39.42578125" style="44" customWidth="1"/>
    <col min="4802" max="4802" width="5.42578125" style="44" customWidth="1"/>
    <col min="4803" max="4810" width="7.140625" style="44" customWidth="1"/>
    <col min="4811" max="4814" width="7.28515625" style="44" customWidth="1"/>
    <col min="4815" max="4818" width="7.42578125" style="44" customWidth="1"/>
    <col min="4819" max="4822" width="7.28515625" style="44" customWidth="1"/>
    <col min="4823" max="4826" width="7.7109375" style="44" customWidth="1"/>
    <col min="4827" max="4827" width="1.140625" style="44" customWidth="1"/>
    <col min="4828" max="4828" width="0.85546875" style="44" customWidth="1"/>
    <col min="4829" max="4832" width="6.5703125" style="44" customWidth="1"/>
    <col min="4833" max="4840" width="0" style="44" hidden="1" customWidth="1"/>
    <col min="4841" max="4841" width="9.5703125" style="44" customWidth="1"/>
    <col min="4842" max="4845" width="6.85546875" style="44" customWidth="1"/>
    <col min="4846" max="4861" width="7.28515625" style="44" customWidth="1"/>
    <col min="4862" max="4862" width="0.85546875" style="44" customWidth="1"/>
    <col min="4863" max="5050" width="8.85546875" style="44"/>
    <col min="5051" max="5051" width="4.85546875" style="44" customWidth="1"/>
    <col min="5052" max="5056" width="0" style="44" hidden="1" customWidth="1"/>
    <col min="5057" max="5057" width="39.42578125" style="44" customWidth="1"/>
    <col min="5058" max="5058" width="5.42578125" style="44" customWidth="1"/>
    <col min="5059" max="5066" width="7.140625" style="44" customWidth="1"/>
    <col min="5067" max="5070" width="7.28515625" style="44" customWidth="1"/>
    <col min="5071" max="5074" width="7.42578125" style="44" customWidth="1"/>
    <col min="5075" max="5078" width="7.28515625" style="44" customWidth="1"/>
    <col min="5079" max="5082" width="7.7109375" style="44" customWidth="1"/>
    <col min="5083" max="5083" width="1.140625" style="44" customWidth="1"/>
    <col min="5084" max="5084" width="0.85546875" style="44" customWidth="1"/>
    <col min="5085" max="5088" width="6.5703125" style="44" customWidth="1"/>
    <col min="5089" max="5096" width="0" style="44" hidden="1" customWidth="1"/>
    <col min="5097" max="5097" width="9.5703125" style="44" customWidth="1"/>
    <col min="5098" max="5101" width="6.85546875" style="44" customWidth="1"/>
    <col min="5102" max="5117" width="7.28515625" style="44" customWidth="1"/>
    <col min="5118" max="5118" width="0.85546875" style="44" customWidth="1"/>
    <col min="5119" max="5306" width="8.85546875" style="44"/>
    <col min="5307" max="5307" width="4.85546875" style="44" customWidth="1"/>
    <col min="5308" max="5312" width="0" style="44" hidden="1" customWidth="1"/>
    <col min="5313" max="5313" width="39.42578125" style="44" customWidth="1"/>
    <col min="5314" max="5314" width="5.42578125" style="44" customWidth="1"/>
    <col min="5315" max="5322" width="7.140625" style="44" customWidth="1"/>
    <col min="5323" max="5326" width="7.28515625" style="44" customWidth="1"/>
    <col min="5327" max="5330" width="7.42578125" style="44" customWidth="1"/>
    <col min="5331" max="5334" width="7.28515625" style="44" customWidth="1"/>
    <col min="5335" max="5338" width="7.7109375" style="44" customWidth="1"/>
    <col min="5339" max="5339" width="1.140625" style="44" customWidth="1"/>
    <col min="5340" max="5340" width="0.85546875" style="44" customWidth="1"/>
    <col min="5341" max="5344" width="6.5703125" style="44" customWidth="1"/>
    <col min="5345" max="5352" width="0" style="44" hidden="1" customWidth="1"/>
    <col min="5353" max="5353" width="9.5703125" style="44" customWidth="1"/>
    <col min="5354" max="5357" width="6.85546875" style="44" customWidth="1"/>
    <col min="5358" max="5373" width="7.28515625" style="44" customWidth="1"/>
    <col min="5374" max="5374" width="0.85546875" style="44" customWidth="1"/>
    <col min="5375" max="5562" width="8.85546875" style="44"/>
    <col min="5563" max="5563" width="4.85546875" style="44" customWidth="1"/>
    <col min="5564" max="5568" width="0" style="44" hidden="1" customWidth="1"/>
    <col min="5569" max="5569" width="39.42578125" style="44" customWidth="1"/>
    <col min="5570" max="5570" width="5.42578125" style="44" customWidth="1"/>
    <col min="5571" max="5578" width="7.140625" style="44" customWidth="1"/>
    <col min="5579" max="5582" width="7.28515625" style="44" customWidth="1"/>
    <col min="5583" max="5586" width="7.42578125" style="44" customWidth="1"/>
    <col min="5587" max="5590" width="7.28515625" style="44" customWidth="1"/>
    <col min="5591" max="5594" width="7.7109375" style="44" customWidth="1"/>
    <col min="5595" max="5595" width="1.140625" style="44" customWidth="1"/>
    <col min="5596" max="5596" width="0.85546875" style="44" customWidth="1"/>
    <col min="5597" max="5600" width="6.5703125" style="44" customWidth="1"/>
    <col min="5601" max="5608" width="0" style="44" hidden="1" customWidth="1"/>
    <col min="5609" max="5609" width="9.5703125" style="44" customWidth="1"/>
    <col min="5610" max="5613" width="6.85546875" style="44" customWidth="1"/>
    <col min="5614" max="5629" width="7.28515625" style="44" customWidth="1"/>
    <col min="5630" max="5630" width="0.85546875" style="44" customWidth="1"/>
    <col min="5631" max="5818" width="8.85546875" style="44"/>
    <col min="5819" max="5819" width="4.85546875" style="44" customWidth="1"/>
    <col min="5820" max="5824" width="0" style="44" hidden="1" customWidth="1"/>
    <col min="5825" max="5825" width="39.42578125" style="44" customWidth="1"/>
    <col min="5826" max="5826" width="5.42578125" style="44" customWidth="1"/>
    <col min="5827" max="5834" width="7.140625" style="44" customWidth="1"/>
    <col min="5835" max="5838" width="7.28515625" style="44" customWidth="1"/>
    <col min="5839" max="5842" width="7.42578125" style="44" customWidth="1"/>
    <col min="5843" max="5846" width="7.28515625" style="44" customWidth="1"/>
    <col min="5847" max="5850" width="7.7109375" style="44" customWidth="1"/>
    <col min="5851" max="5851" width="1.140625" style="44" customWidth="1"/>
    <col min="5852" max="5852" width="0.85546875" style="44" customWidth="1"/>
    <col min="5853" max="5856" width="6.5703125" style="44" customWidth="1"/>
    <col min="5857" max="5864" width="0" style="44" hidden="1" customWidth="1"/>
    <col min="5865" max="5865" width="9.5703125" style="44" customWidth="1"/>
    <col min="5866" max="5869" width="6.85546875" style="44" customWidth="1"/>
    <col min="5870" max="5885" width="7.28515625" style="44" customWidth="1"/>
    <col min="5886" max="5886" width="0.85546875" style="44" customWidth="1"/>
    <col min="5887" max="6074" width="8.85546875" style="44"/>
    <col min="6075" max="6075" width="4.85546875" style="44" customWidth="1"/>
    <col min="6076" max="6080" width="0" style="44" hidden="1" customWidth="1"/>
    <col min="6081" max="6081" width="39.42578125" style="44" customWidth="1"/>
    <col min="6082" max="6082" width="5.42578125" style="44" customWidth="1"/>
    <col min="6083" max="6090" width="7.140625" style="44" customWidth="1"/>
    <col min="6091" max="6094" width="7.28515625" style="44" customWidth="1"/>
    <col min="6095" max="6098" width="7.42578125" style="44" customWidth="1"/>
    <col min="6099" max="6102" width="7.28515625" style="44" customWidth="1"/>
    <col min="6103" max="6106" width="7.7109375" style="44" customWidth="1"/>
    <col min="6107" max="6107" width="1.140625" style="44" customWidth="1"/>
    <col min="6108" max="6108" width="0.85546875" style="44" customWidth="1"/>
    <col min="6109" max="6112" width="6.5703125" style="44" customWidth="1"/>
    <col min="6113" max="6120" width="0" style="44" hidden="1" customWidth="1"/>
    <col min="6121" max="6121" width="9.5703125" style="44" customWidth="1"/>
    <col min="6122" max="6125" width="6.85546875" style="44" customWidth="1"/>
    <col min="6126" max="6141" width="7.28515625" style="44" customWidth="1"/>
    <col min="6142" max="6142" width="0.85546875" style="44" customWidth="1"/>
    <col min="6143" max="6330" width="8.85546875" style="44"/>
    <col min="6331" max="6331" width="4.85546875" style="44" customWidth="1"/>
    <col min="6332" max="6336" width="0" style="44" hidden="1" customWidth="1"/>
    <col min="6337" max="6337" width="39.42578125" style="44" customWidth="1"/>
    <col min="6338" max="6338" width="5.42578125" style="44" customWidth="1"/>
    <col min="6339" max="6346" width="7.140625" style="44" customWidth="1"/>
    <col min="6347" max="6350" width="7.28515625" style="44" customWidth="1"/>
    <col min="6351" max="6354" width="7.42578125" style="44" customWidth="1"/>
    <col min="6355" max="6358" width="7.28515625" style="44" customWidth="1"/>
    <col min="6359" max="6362" width="7.7109375" style="44" customWidth="1"/>
    <col min="6363" max="6363" width="1.140625" style="44" customWidth="1"/>
    <col min="6364" max="6364" width="0.85546875" style="44" customWidth="1"/>
    <col min="6365" max="6368" width="6.5703125" style="44" customWidth="1"/>
    <col min="6369" max="6376" width="0" style="44" hidden="1" customWidth="1"/>
    <col min="6377" max="6377" width="9.5703125" style="44" customWidth="1"/>
    <col min="6378" max="6381" width="6.85546875" style="44" customWidth="1"/>
    <col min="6382" max="6397" width="7.28515625" style="44" customWidth="1"/>
    <col min="6398" max="6398" width="0.85546875" style="44" customWidth="1"/>
    <col min="6399" max="6586" width="8.85546875" style="44"/>
    <col min="6587" max="6587" width="4.85546875" style="44" customWidth="1"/>
    <col min="6588" max="6592" width="0" style="44" hidden="1" customWidth="1"/>
    <col min="6593" max="6593" width="39.42578125" style="44" customWidth="1"/>
    <col min="6594" max="6594" width="5.42578125" style="44" customWidth="1"/>
    <col min="6595" max="6602" width="7.140625" style="44" customWidth="1"/>
    <col min="6603" max="6606" width="7.28515625" style="44" customWidth="1"/>
    <col min="6607" max="6610" width="7.42578125" style="44" customWidth="1"/>
    <col min="6611" max="6614" width="7.28515625" style="44" customWidth="1"/>
    <col min="6615" max="6618" width="7.7109375" style="44" customWidth="1"/>
    <col min="6619" max="6619" width="1.140625" style="44" customWidth="1"/>
    <col min="6620" max="6620" width="0.85546875" style="44" customWidth="1"/>
    <col min="6621" max="6624" width="6.5703125" style="44" customWidth="1"/>
    <col min="6625" max="6632" width="0" style="44" hidden="1" customWidth="1"/>
    <col min="6633" max="6633" width="9.5703125" style="44" customWidth="1"/>
    <col min="6634" max="6637" width="6.85546875" style="44" customWidth="1"/>
    <col min="6638" max="6653" width="7.28515625" style="44" customWidth="1"/>
    <col min="6654" max="6654" width="0.85546875" style="44" customWidth="1"/>
    <col min="6655" max="6842" width="8.85546875" style="44"/>
    <col min="6843" max="6843" width="4.85546875" style="44" customWidth="1"/>
    <col min="6844" max="6848" width="0" style="44" hidden="1" customWidth="1"/>
    <col min="6849" max="6849" width="39.42578125" style="44" customWidth="1"/>
    <col min="6850" max="6850" width="5.42578125" style="44" customWidth="1"/>
    <col min="6851" max="6858" width="7.140625" style="44" customWidth="1"/>
    <col min="6859" max="6862" width="7.28515625" style="44" customWidth="1"/>
    <col min="6863" max="6866" width="7.42578125" style="44" customWidth="1"/>
    <col min="6867" max="6870" width="7.28515625" style="44" customWidth="1"/>
    <col min="6871" max="6874" width="7.7109375" style="44" customWidth="1"/>
    <col min="6875" max="6875" width="1.140625" style="44" customWidth="1"/>
    <col min="6876" max="6876" width="0.85546875" style="44" customWidth="1"/>
    <col min="6877" max="6880" width="6.5703125" style="44" customWidth="1"/>
    <col min="6881" max="6888" width="0" style="44" hidden="1" customWidth="1"/>
    <col min="6889" max="6889" width="9.5703125" style="44" customWidth="1"/>
    <col min="6890" max="6893" width="6.85546875" style="44" customWidth="1"/>
    <col min="6894" max="6909" width="7.28515625" style="44" customWidth="1"/>
    <col min="6910" max="6910" width="0.85546875" style="44" customWidth="1"/>
    <col min="6911" max="7098" width="8.85546875" style="44"/>
    <col min="7099" max="7099" width="4.85546875" style="44" customWidth="1"/>
    <col min="7100" max="7104" width="0" style="44" hidden="1" customWidth="1"/>
    <col min="7105" max="7105" width="39.42578125" style="44" customWidth="1"/>
    <col min="7106" max="7106" width="5.42578125" style="44" customWidth="1"/>
    <col min="7107" max="7114" width="7.140625" style="44" customWidth="1"/>
    <col min="7115" max="7118" width="7.28515625" style="44" customWidth="1"/>
    <col min="7119" max="7122" width="7.42578125" style="44" customWidth="1"/>
    <col min="7123" max="7126" width="7.28515625" style="44" customWidth="1"/>
    <col min="7127" max="7130" width="7.7109375" style="44" customWidth="1"/>
    <col min="7131" max="7131" width="1.140625" style="44" customWidth="1"/>
    <col min="7132" max="7132" width="0.85546875" style="44" customWidth="1"/>
    <col min="7133" max="7136" width="6.5703125" style="44" customWidth="1"/>
    <col min="7137" max="7144" width="0" style="44" hidden="1" customWidth="1"/>
    <col min="7145" max="7145" width="9.5703125" style="44" customWidth="1"/>
    <col min="7146" max="7149" width="6.85546875" style="44" customWidth="1"/>
    <col min="7150" max="7165" width="7.28515625" style="44" customWidth="1"/>
    <col min="7166" max="7166" width="0.85546875" style="44" customWidth="1"/>
    <col min="7167" max="7354" width="8.85546875" style="44"/>
    <col min="7355" max="7355" width="4.85546875" style="44" customWidth="1"/>
    <col min="7356" max="7360" width="0" style="44" hidden="1" customWidth="1"/>
    <col min="7361" max="7361" width="39.42578125" style="44" customWidth="1"/>
    <col min="7362" max="7362" width="5.42578125" style="44" customWidth="1"/>
    <col min="7363" max="7370" width="7.140625" style="44" customWidth="1"/>
    <col min="7371" max="7374" width="7.28515625" style="44" customWidth="1"/>
    <col min="7375" max="7378" width="7.42578125" style="44" customWidth="1"/>
    <col min="7379" max="7382" width="7.28515625" style="44" customWidth="1"/>
    <col min="7383" max="7386" width="7.7109375" style="44" customWidth="1"/>
    <col min="7387" max="7387" width="1.140625" style="44" customWidth="1"/>
    <col min="7388" max="7388" width="0.85546875" style="44" customWidth="1"/>
    <col min="7389" max="7392" width="6.5703125" style="44" customWidth="1"/>
    <col min="7393" max="7400" width="0" style="44" hidden="1" customWidth="1"/>
    <col min="7401" max="7401" width="9.5703125" style="44" customWidth="1"/>
    <col min="7402" max="7405" width="6.85546875" style="44" customWidth="1"/>
    <col min="7406" max="7421" width="7.28515625" style="44" customWidth="1"/>
    <col min="7422" max="7422" width="0.85546875" style="44" customWidth="1"/>
    <col min="7423" max="7610" width="8.85546875" style="44"/>
    <col min="7611" max="7611" width="4.85546875" style="44" customWidth="1"/>
    <col min="7612" max="7616" width="0" style="44" hidden="1" customWidth="1"/>
    <col min="7617" max="7617" width="39.42578125" style="44" customWidth="1"/>
    <col min="7618" max="7618" width="5.42578125" style="44" customWidth="1"/>
    <col min="7619" max="7626" width="7.140625" style="44" customWidth="1"/>
    <col min="7627" max="7630" width="7.28515625" style="44" customWidth="1"/>
    <col min="7631" max="7634" width="7.42578125" style="44" customWidth="1"/>
    <col min="7635" max="7638" width="7.28515625" style="44" customWidth="1"/>
    <col min="7639" max="7642" width="7.7109375" style="44" customWidth="1"/>
    <col min="7643" max="7643" width="1.140625" style="44" customWidth="1"/>
    <col min="7644" max="7644" width="0.85546875" style="44" customWidth="1"/>
    <col min="7645" max="7648" width="6.5703125" style="44" customWidth="1"/>
    <col min="7649" max="7656" width="0" style="44" hidden="1" customWidth="1"/>
    <col min="7657" max="7657" width="9.5703125" style="44" customWidth="1"/>
    <col min="7658" max="7661" width="6.85546875" style="44" customWidth="1"/>
    <col min="7662" max="7677" width="7.28515625" style="44" customWidth="1"/>
    <col min="7678" max="7678" width="0.85546875" style="44" customWidth="1"/>
    <col min="7679" max="7866" width="8.85546875" style="44"/>
    <col min="7867" max="7867" width="4.85546875" style="44" customWidth="1"/>
    <col min="7868" max="7872" width="0" style="44" hidden="1" customWidth="1"/>
    <col min="7873" max="7873" width="39.42578125" style="44" customWidth="1"/>
    <col min="7874" max="7874" width="5.42578125" style="44" customWidth="1"/>
    <col min="7875" max="7882" width="7.140625" style="44" customWidth="1"/>
    <col min="7883" max="7886" width="7.28515625" style="44" customWidth="1"/>
    <col min="7887" max="7890" width="7.42578125" style="44" customWidth="1"/>
    <col min="7891" max="7894" width="7.28515625" style="44" customWidth="1"/>
    <col min="7895" max="7898" width="7.7109375" style="44" customWidth="1"/>
    <col min="7899" max="7899" width="1.140625" style="44" customWidth="1"/>
    <col min="7900" max="7900" width="0.85546875" style="44" customWidth="1"/>
    <col min="7901" max="7904" width="6.5703125" style="44" customWidth="1"/>
    <col min="7905" max="7912" width="0" style="44" hidden="1" customWidth="1"/>
    <col min="7913" max="7913" width="9.5703125" style="44" customWidth="1"/>
    <col min="7914" max="7917" width="6.85546875" style="44" customWidth="1"/>
    <col min="7918" max="7933" width="7.28515625" style="44" customWidth="1"/>
    <col min="7934" max="7934" width="0.85546875" style="44" customWidth="1"/>
    <col min="7935" max="8122" width="8.85546875" style="44"/>
    <col min="8123" max="8123" width="4.85546875" style="44" customWidth="1"/>
    <col min="8124" max="8128" width="0" style="44" hidden="1" customWidth="1"/>
    <col min="8129" max="8129" width="39.42578125" style="44" customWidth="1"/>
    <col min="8130" max="8130" width="5.42578125" style="44" customWidth="1"/>
    <col min="8131" max="8138" width="7.140625" style="44" customWidth="1"/>
    <col min="8139" max="8142" width="7.28515625" style="44" customWidth="1"/>
    <col min="8143" max="8146" width="7.42578125" style="44" customWidth="1"/>
    <col min="8147" max="8150" width="7.28515625" style="44" customWidth="1"/>
    <col min="8151" max="8154" width="7.7109375" style="44" customWidth="1"/>
    <col min="8155" max="8155" width="1.140625" style="44" customWidth="1"/>
    <col min="8156" max="8156" width="0.85546875" style="44" customWidth="1"/>
    <col min="8157" max="8160" width="6.5703125" style="44" customWidth="1"/>
    <col min="8161" max="8168" width="0" style="44" hidden="1" customWidth="1"/>
    <col min="8169" max="8169" width="9.5703125" style="44" customWidth="1"/>
    <col min="8170" max="8173" width="6.85546875" style="44" customWidth="1"/>
    <col min="8174" max="8189" width="7.28515625" style="44" customWidth="1"/>
    <col min="8190" max="8190" width="0.85546875" style="44" customWidth="1"/>
    <col min="8191" max="8378" width="8.85546875" style="44"/>
    <col min="8379" max="8379" width="4.85546875" style="44" customWidth="1"/>
    <col min="8380" max="8384" width="0" style="44" hidden="1" customWidth="1"/>
    <col min="8385" max="8385" width="39.42578125" style="44" customWidth="1"/>
    <col min="8386" max="8386" width="5.42578125" style="44" customWidth="1"/>
    <col min="8387" max="8394" width="7.140625" style="44" customWidth="1"/>
    <col min="8395" max="8398" width="7.28515625" style="44" customWidth="1"/>
    <col min="8399" max="8402" width="7.42578125" style="44" customWidth="1"/>
    <col min="8403" max="8406" width="7.28515625" style="44" customWidth="1"/>
    <col min="8407" max="8410" width="7.7109375" style="44" customWidth="1"/>
    <col min="8411" max="8411" width="1.140625" style="44" customWidth="1"/>
    <col min="8412" max="8412" width="0.85546875" style="44" customWidth="1"/>
    <col min="8413" max="8416" width="6.5703125" style="44" customWidth="1"/>
    <col min="8417" max="8424" width="0" style="44" hidden="1" customWidth="1"/>
    <col min="8425" max="8425" width="9.5703125" style="44" customWidth="1"/>
    <col min="8426" max="8429" width="6.85546875" style="44" customWidth="1"/>
    <col min="8430" max="8445" width="7.28515625" style="44" customWidth="1"/>
    <col min="8446" max="8446" width="0.85546875" style="44" customWidth="1"/>
    <col min="8447" max="8634" width="8.85546875" style="44"/>
    <col min="8635" max="8635" width="4.85546875" style="44" customWidth="1"/>
    <col min="8636" max="8640" width="0" style="44" hidden="1" customWidth="1"/>
    <col min="8641" max="8641" width="39.42578125" style="44" customWidth="1"/>
    <col min="8642" max="8642" width="5.42578125" style="44" customWidth="1"/>
    <col min="8643" max="8650" width="7.140625" style="44" customWidth="1"/>
    <col min="8651" max="8654" width="7.28515625" style="44" customWidth="1"/>
    <col min="8655" max="8658" width="7.42578125" style="44" customWidth="1"/>
    <col min="8659" max="8662" width="7.28515625" style="44" customWidth="1"/>
    <col min="8663" max="8666" width="7.7109375" style="44" customWidth="1"/>
    <col min="8667" max="8667" width="1.140625" style="44" customWidth="1"/>
    <col min="8668" max="8668" width="0.85546875" style="44" customWidth="1"/>
    <col min="8669" max="8672" width="6.5703125" style="44" customWidth="1"/>
    <col min="8673" max="8680" width="0" style="44" hidden="1" customWidth="1"/>
    <col min="8681" max="8681" width="9.5703125" style="44" customWidth="1"/>
    <col min="8682" max="8685" width="6.85546875" style="44" customWidth="1"/>
    <col min="8686" max="8701" width="7.28515625" style="44" customWidth="1"/>
    <col min="8702" max="8702" width="0.85546875" style="44" customWidth="1"/>
    <col min="8703" max="8890" width="8.85546875" style="44"/>
    <col min="8891" max="8891" width="4.85546875" style="44" customWidth="1"/>
    <col min="8892" max="8896" width="0" style="44" hidden="1" customWidth="1"/>
    <col min="8897" max="8897" width="39.42578125" style="44" customWidth="1"/>
    <col min="8898" max="8898" width="5.42578125" style="44" customWidth="1"/>
    <col min="8899" max="8906" width="7.140625" style="44" customWidth="1"/>
    <col min="8907" max="8910" width="7.28515625" style="44" customWidth="1"/>
    <col min="8911" max="8914" width="7.42578125" style="44" customWidth="1"/>
    <col min="8915" max="8918" width="7.28515625" style="44" customWidth="1"/>
    <col min="8919" max="8922" width="7.7109375" style="44" customWidth="1"/>
    <col min="8923" max="8923" width="1.140625" style="44" customWidth="1"/>
    <col min="8924" max="8924" width="0.85546875" style="44" customWidth="1"/>
    <col min="8925" max="8928" width="6.5703125" style="44" customWidth="1"/>
    <col min="8929" max="8936" width="0" style="44" hidden="1" customWidth="1"/>
    <col min="8937" max="8937" width="9.5703125" style="44" customWidth="1"/>
    <col min="8938" max="8941" width="6.85546875" style="44" customWidth="1"/>
    <col min="8942" max="8957" width="7.28515625" style="44" customWidth="1"/>
    <col min="8958" max="8958" width="0.85546875" style="44" customWidth="1"/>
    <col min="8959" max="9146" width="8.85546875" style="44"/>
    <col min="9147" max="9147" width="4.85546875" style="44" customWidth="1"/>
    <col min="9148" max="9152" width="0" style="44" hidden="1" customWidth="1"/>
    <col min="9153" max="9153" width="39.42578125" style="44" customWidth="1"/>
    <col min="9154" max="9154" width="5.42578125" style="44" customWidth="1"/>
    <col min="9155" max="9162" width="7.140625" style="44" customWidth="1"/>
    <col min="9163" max="9166" width="7.28515625" style="44" customWidth="1"/>
    <col min="9167" max="9170" width="7.42578125" style="44" customWidth="1"/>
    <col min="9171" max="9174" width="7.28515625" style="44" customWidth="1"/>
    <col min="9175" max="9178" width="7.7109375" style="44" customWidth="1"/>
    <col min="9179" max="9179" width="1.140625" style="44" customWidth="1"/>
    <col min="9180" max="9180" width="0.85546875" style="44" customWidth="1"/>
    <col min="9181" max="9184" width="6.5703125" style="44" customWidth="1"/>
    <col min="9185" max="9192" width="0" style="44" hidden="1" customWidth="1"/>
    <col min="9193" max="9193" width="9.5703125" style="44" customWidth="1"/>
    <col min="9194" max="9197" width="6.85546875" style="44" customWidth="1"/>
    <col min="9198" max="9213" width="7.28515625" style="44" customWidth="1"/>
    <col min="9214" max="9214" width="0.85546875" style="44" customWidth="1"/>
    <col min="9215" max="9402" width="8.85546875" style="44"/>
    <col min="9403" max="9403" width="4.85546875" style="44" customWidth="1"/>
    <col min="9404" max="9408" width="0" style="44" hidden="1" customWidth="1"/>
    <col min="9409" max="9409" width="39.42578125" style="44" customWidth="1"/>
    <col min="9410" max="9410" width="5.42578125" style="44" customWidth="1"/>
    <col min="9411" max="9418" width="7.140625" style="44" customWidth="1"/>
    <col min="9419" max="9422" width="7.28515625" style="44" customWidth="1"/>
    <col min="9423" max="9426" width="7.42578125" style="44" customWidth="1"/>
    <col min="9427" max="9430" width="7.28515625" style="44" customWidth="1"/>
    <col min="9431" max="9434" width="7.7109375" style="44" customWidth="1"/>
    <col min="9435" max="9435" width="1.140625" style="44" customWidth="1"/>
    <col min="9436" max="9436" width="0.85546875" style="44" customWidth="1"/>
    <col min="9437" max="9440" width="6.5703125" style="44" customWidth="1"/>
    <col min="9441" max="9448" width="0" style="44" hidden="1" customWidth="1"/>
    <col min="9449" max="9449" width="9.5703125" style="44" customWidth="1"/>
    <col min="9450" max="9453" width="6.85546875" style="44" customWidth="1"/>
    <col min="9454" max="9469" width="7.28515625" style="44" customWidth="1"/>
    <col min="9470" max="9470" width="0.85546875" style="44" customWidth="1"/>
    <col min="9471" max="9658" width="8.85546875" style="44"/>
    <col min="9659" max="9659" width="4.85546875" style="44" customWidth="1"/>
    <col min="9660" max="9664" width="0" style="44" hidden="1" customWidth="1"/>
    <col min="9665" max="9665" width="39.42578125" style="44" customWidth="1"/>
    <col min="9666" max="9666" width="5.42578125" style="44" customWidth="1"/>
    <col min="9667" max="9674" width="7.140625" style="44" customWidth="1"/>
    <col min="9675" max="9678" width="7.28515625" style="44" customWidth="1"/>
    <col min="9679" max="9682" width="7.42578125" style="44" customWidth="1"/>
    <col min="9683" max="9686" width="7.28515625" style="44" customWidth="1"/>
    <col min="9687" max="9690" width="7.7109375" style="44" customWidth="1"/>
    <col min="9691" max="9691" width="1.140625" style="44" customWidth="1"/>
    <col min="9692" max="9692" width="0.85546875" style="44" customWidth="1"/>
    <col min="9693" max="9696" width="6.5703125" style="44" customWidth="1"/>
    <col min="9697" max="9704" width="0" style="44" hidden="1" customWidth="1"/>
    <col min="9705" max="9705" width="9.5703125" style="44" customWidth="1"/>
    <col min="9706" max="9709" width="6.85546875" style="44" customWidth="1"/>
    <col min="9710" max="9725" width="7.28515625" style="44" customWidth="1"/>
    <col min="9726" max="9726" width="0.85546875" style="44" customWidth="1"/>
    <col min="9727" max="9914" width="8.85546875" style="44"/>
    <col min="9915" max="9915" width="4.85546875" style="44" customWidth="1"/>
    <col min="9916" max="9920" width="0" style="44" hidden="1" customWidth="1"/>
    <col min="9921" max="9921" width="39.42578125" style="44" customWidth="1"/>
    <col min="9922" max="9922" width="5.42578125" style="44" customWidth="1"/>
    <col min="9923" max="9930" width="7.140625" style="44" customWidth="1"/>
    <col min="9931" max="9934" width="7.28515625" style="44" customWidth="1"/>
    <col min="9935" max="9938" width="7.42578125" style="44" customWidth="1"/>
    <col min="9939" max="9942" width="7.28515625" style="44" customWidth="1"/>
    <col min="9943" max="9946" width="7.7109375" style="44" customWidth="1"/>
    <col min="9947" max="9947" width="1.140625" style="44" customWidth="1"/>
    <col min="9948" max="9948" width="0.85546875" style="44" customWidth="1"/>
    <col min="9949" max="9952" width="6.5703125" style="44" customWidth="1"/>
    <col min="9953" max="9960" width="0" style="44" hidden="1" customWidth="1"/>
    <col min="9961" max="9961" width="9.5703125" style="44" customWidth="1"/>
    <col min="9962" max="9965" width="6.85546875" style="44" customWidth="1"/>
    <col min="9966" max="9981" width="7.28515625" style="44" customWidth="1"/>
    <col min="9982" max="9982" width="0.85546875" style="44" customWidth="1"/>
    <col min="9983" max="10170" width="8.85546875" style="44"/>
    <col min="10171" max="10171" width="4.85546875" style="44" customWidth="1"/>
    <col min="10172" max="10176" width="0" style="44" hidden="1" customWidth="1"/>
    <col min="10177" max="10177" width="39.42578125" style="44" customWidth="1"/>
    <col min="10178" max="10178" width="5.42578125" style="44" customWidth="1"/>
    <col min="10179" max="10186" width="7.140625" style="44" customWidth="1"/>
    <col min="10187" max="10190" width="7.28515625" style="44" customWidth="1"/>
    <col min="10191" max="10194" width="7.42578125" style="44" customWidth="1"/>
    <col min="10195" max="10198" width="7.28515625" style="44" customWidth="1"/>
    <col min="10199" max="10202" width="7.7109375" style="44" customWidth="1"/>
    <col min="10203" max="10203" width="1.140625" style="44" customWidth="1"/>
    <col min="10204" max="10204" width="0.85546875" style="44" customWidth="1"/>
    <col min="10205" max="10208" width="6.5703125" style="44" customWidth="1"/>
    <col min="10209" max="10216" width="0" style="44" hidden="1" customWidth="1"/>
    <col min="10217" max="10217" width="9.5703125" style="44" customWidth="1"/>
    <col min="10218" max="10221" width="6.85546875" style="44" customWidth="1"/>
    <col min="10222" max="10237" width="7.28515625" style="44" customWidth="1"/>
    <col min="10238" max="10238" width="0.85546875" style="44" customWidth="1"/>
    <col min="10239" max="10426" width="8.85546875" style="44"/>
    <col min="10427" max="10427" width="4.85546875" style="44" customWidth="1"/>
    <col min="10428" max="10432" width="0" style="44" hidden="1" customWidth="1"/>
    <col min="10433" max="10433" width="39.42578125" style="44" customWidth="1"/>
    <col min="10434" max="10434" width="5.42578125" style="44" customWidth="1"/>
    <col min="10435" max="10442" width="7.140625" style="44" customWidth="1"/>
    <col min="10443" max="10446" width="7.28515625" style="44" customWidth="1"/>
    <col min="10447" max="10450" width="7.42578125" style="44" customWidth="1"/>
    <col min="10451" max="10454" width="7.28515625" style="44" customWidth="1"/>
    <col min="10455" max="10458" width="7.7109375" style="44" customWidth="1"/>
    <col min="10459" max="10459" width="1.140625" style="44" customWidth="1"/>
    <col min="10460" max="10460" width="0.85546875" style="44" customWidth="1"/>
    <col min="10461" max="10464" width="6.5703125" style="44" customWidth="1"/>
    <col min="10465" max="10472" width="0" style="44" hidden="1" customWidth="1"/>
    <col min="10473" max="10473" width="9.5703125" style="44" customWidth="1"/>
    <col min="10474" max="10477" width="6.85546875" style="44" customWidth="1"/>
    <col min="10478" max="10493" width="7.28515625" style="44" customWidth="1"/>
    <col min="10494" max="10494" width="0.85546875" style="44" customWidth="1"/>
    <col min="10495" max="10682" width="8.85546875" style="44"/>
    <col min="10683" max="10683" width="4.85546875" style="44" customWidth="1"/>
    <col min="10684" max="10688" width="0" style="44" hidden="1" customWidth="1"/>
    <col min="10689" max="10689" width="39.42578125" style="44" customWidth="1"/>
    <col min="10690" max="10690" width="5.42578125" style="44" customWidth="1"/>
    <col min="10691" max="10698" width="7.140625" style="44" customWidth="1"/>
    <col min="10699" max="10702" width="7.28515625" style="44" customWidth="1"/>
    <col min="10703" max="10706" width="7.42578125" style="44" customWidth="1"/>
    <col min="10707" max="10710" width="7.28515625" style="44" customWidth="1"/>
    <col min="10711" max="10714" width="7.7109375" style="44" customWidth="1"/>
    <col min="10715" max="10715" width="1.140625" style="44" customWidth="1"/>
    <col min="10716" max="10716" width="0.85546875" style="44" customWidth="1"/>
    <col min="10717" max="10720" width="6.5703125" style="44" customWidth="1"/>
    <col min="10721" max="10728" width="0" style="44" hidden="1" customWidth="1"/>
    <col min="10729" max="10729" width="9.5703125" style="44" customWidth="1"/>
    <col min="10730" max="10733" width="6.85546875" style="44" customWidth="1"/>
    <col min="10734" max="10749" width="7.28515625" style="44" customWidth="1"/>
    <col min="10750" max="10750" width="0.85546875" style="44" customWidth="1"/>
    <col min="10751" max="10938" width="8.85546875" style="44"/>
    <col min="10939" max="10939" width="4.85546875" style="44" customWidth="1"/>
    <col min="10940" max="10944" width="0" style="44" hidden="1" customWidth="1"/>
    <col min="10945" max="10945" width="39.42578125" style="44" customWidth="1"/>
    <col min="10946" max="10946" width="5.42578125" style="44" customWidth="1"/>
    <col min="10947" max="10954" width="7.140625" style="44" customWidth="1"/>
    <col min="10955" max="10958" width="7.28515625" style="44" customWidth="1"/>
    <col min="10959" max="10962" width="7.42578125" style="44" customWidth="1"/>
    <col min="10963" max="10966" width="7.28515625" style="44" customWidth="1"/>
    <col min="10967" max="10970" width="7.7109375" style="44" customWidth="1"/>
    <col min="10971" max="10971" width="1.140625" style="44" customWidth="1"/>
    <col min="10972" max="10972" width="0.85546875" style="44" customWidth="1"/>
    <col min="10973" max="10976" width="6.5703125" style="44" customWidth="1"/>
    <col min="10977" max="10984" width="0" style="44" hidden="1" customWidth="1"/>
    <col min="10985" max="10985" width="9.5703125" style="44" customWidth="1"/>
    <col min="10986" max="10989" width="6.85546875" style="44" customWidth="1"/>
    <col min="10990" max="11005" width="7.28515625" style="44" customWidth="1"/>
    <col min="11006" max="11006" width="0.85546875" style="44" customWidth="1"/>
    <col min="11007" max="11194" width="8.85546875" style="44"/>
    <col min="11195" max="11195" width="4.85546875" style="44" customWidth="1"/>
    <col min="11196" max="11200" width="0" style="44" hidden="1" customWidth="1"/>
    <col min="11201" max="11201" width="39.42578125" style="44" customWidth="1"/>
    <col min="11202" max="11202" width="5.42578125" style="44" customWidth="1"/>
    <col min="11203" max="11210" width="7.140625" style="44" customWidth="1"/>
    <col min="11211" max="11214" width="7.28515625" style="44" customWidth="1"/>
    <col min="11215" max="11218" width="7.42578125" style="44" customWidth="1"/>
    <col min="11219" max="11222" width="7.28515625" style="44" customWidth="1"/>
    <col min="11223" max="11226" width="7.7109375" style="44" customWidth="1"/>
    <col min="11227" max="11227" width="1.140625" style="44" customWidth="1"/>
    <col min="11228" max="11228" width="0.85546875" style="44" customWidth="1"/>
    <col min="11229" max="11232" width="6.5703125" style="44" customWidth="1"/>
    <col min="11233" max="11240" width="0" style="44" hidden="1" customWidth="1"/>
    <col min="11241" max="11241" width="9.5703125" style="44" customWidth="1"/>
    <col min="11242" max="11245" width="6.85546875" style="44" customWidth="1"/>
    <col min="11246" max="11261" width="7.28515625" style="44" customWidth="1"/>
    <col min="11262" max="11262" width="0.85546875" style="44" customWidth="1"/>
    <col min="11263" max="11450" width="8.85546875" style="44"/>
    <col min="11451" max="11451" width="4.85546875" style="44" customWidth="1"/>
    <col min="11452" max="11456" width="0" style="44" hidden="1" customWidth="1"/>
    <col min="11457" max="11457" width="39.42578125" style="44" customWidth="1"/>
    <col min="11458" max="11458" width="5.42578125" style="44" customWidth="1"/>
    <col min="11459" max="11466" width="7.140625" style="44" customWidth="1"/>
    <col min="11467" max="11470" width="7.28515625" style="44" customWidth="1"/>
    <col min="11471" max="11474" width="7.42578125" style="44" customWidth="1"/>
    <col min="11475" max="11478" width="7.28515625" style="44" customWidth="1"/>
    <col min="11479" max="11482" width="7.7109375" style="44" customWidth="1"/>
    <col min="11483" max="11483" width="1.140625" style="44" customWidth="1"/>
    <col min="11484" max="11484" width="0.85546875" style="44" customWidth="1"/>
    <col min="11485" max="11488" width="6.5703125" style="44" customWidth="1"/>
    <col min="11489" max="11496" width="0" style="44" hidden="1" customWidth="1"/>
    <col min="11497" max="11497" width="9.5703125" style="44" customWidth="1"/>
    <col min="11498" max="11501" width="6.85546875" style="44" customWidth="1"/>
    <col min="11502" max="11517" width="7.28515625" style="44" customWidth="1"/>
    <col min="11518" max="11518" width="0.85546875" style="44" customWidth="1"/>
    <col min="11519" max="11706" width="8.85546875" style="44"/>
    <col min="11707" max="11707" width="4.85546875" style="44" customWidth="1"/>
    <col min="11708" max="11712" width="0" style="44" hidden="1" customWidth="1"/>
    <col min="11713" max="11713" width="39.42578125" style="44" customWidth="1"/>
    <col min="11714" max="11714" width="5.42578125" style="44" customWidth="1"/>
    <col min="11715" max="11722" width="7.140625" style="44" customWidth="1"/>
    <col min="11723" max="11726" width="7.28515625" style="44" customWidth="1"/>
    <col min="11727" max="11730" width="7.42578125" style="44" customWidth="1"/>
    <col min="11731" max="11734" width="7.28515625" style="44" customWidth="1"/>
    <col min="11735" max="11738" width="7.7109375" style="44" customWidth="1"/>
    <col min="11739" max="11739" width="1.140625" style="44" customWidth="1"/>
    <col min="11740" max="11740" width="0.85546875" style="44" customWidth="1"/>
    <col min="11741" max="11744" width="6.5703125" style="44" customWidth="1"/>
    <col min="11745" max="11752" width="0" style="44" hidden="1" customWidth="1"/>
    <col min="11753" max="11753" width="9.5703125" style="44" customWidth="1"/>
    <col min="11754" max="11757" width="6.85546875" style="44" customWidth="1"/>
    <col min="11758" max="11773" width="7.28515625" style="44" customWidth="1"/>
    <col min="11774" max="11774" width="0.85546875" style="44" customWidth="1"/>
    <col min="11775" max="11962" width="8.85546875" style="44"/>
    <col min="11963" max="11963" width="4.85546875" style="44" customWidth="1"/>
    <col min="11964" max="11968" width="0" style="44" hidden="1" customWidth="1"/>
    <col min="11969" max="11969" width="39.42578125" style="44" customWidth="1"/>
    <col min="11970" max="11970" width="5.42578125" style="44" customWidth="1"/>
    <col min="11971" max="11978" width="7.140625" style="44" customWidth="1"/>
    <col min="11979" max="11982" width="7.28515625" style="44" customWidth="1"/>
    <col min="11983" max="11986" width="7.42578125" style="44" customWidth="1"/>
    <col min="11987" max="11990" width="7.28515625" style="44" customWidth="1"/>
    <col min="11991" max="11994" width="7.7109375" style="44" customWidth="1"/>
    <col min="11995" max="11995" width="1.140625" style="44" customWidth="1"/>
    <col min="11996" max="11996" width="0.85546875" style="44" customWidth="1"/>
    <col min="11997" max="12000" width="6.5703125" style="44" customWidth="1"/>
    <col min="12001" max="12008" width="0" style="44" hidden="1" customWidth="1"/>
    <col min="12009" max="12009" width="9.5703125" style="44" customWidth="1"/>
    <col min="12010" max="12013" width="6.85546875" style="44" customWidth="1"/>
    <col min="12014" max="12029" width="7.28515625" style="44" customWidth="1"/>
    <col min="12030" max="12030" width="0.85546875" style="44" customWidth="1"/>
    <col min="12031" max="12218" width="8.85546875" style="44"/>
    <col min="12219" max="12219" width="4.85546875" style="44" customWidth="1"/>
    <col min="12220" max="12224" width="0" style="44" hidden="1" customWidth="1"/>
    <col min="12225" max="12225" width="39.42578125" style="44" customWidth="1"/>
    <col min="12226" max="12226" width="5.42578125" style="44" customWidth="1"/>
    <col min="12227" max="12234" width="7.140625" style="44" customWidth="1"/>
    <col min="12235" max="12238" width="7.28515625" style="44" customWidth="1"/>
    <col min="12239" max="12242" width="7.42578125" style="44" customWidth="1"/>
    <col min="12243" max="12246" width="7.28515625" style="44" customWidth="1"/>
    <col min="12247" max="12250" width="7.7109375" style="44" customWidth="1"/>
    <col min="12251" max="12251" width="1.140625" style="44" customWidth="1"/>
    <col min="12252" max="12252" width="0.85546875" style="44" customWidth="1"/>
    <col min="12253" max="12256" width="6.5703125" style="44" customWidth="1"/>
    <col min="12257" max="12264" width="0" style="44" hidden="1" customWidth="1"/>
    <col min="12265" max="12265" width="9.5703125" style="44" customWidth="1"/>
    <col min="12266" max="12269" width="6.85546875" style="44" customWidth="1"/>
    <col min="12270" max="12285" width="7.28515625" style="44" customWidth="1"/>
    <col min="12286" max="12286" width="0.85546875" style="44" customWidth="1"/>
    <col min="12287" max="12474" width="8.85546875" style="44"/>
    <col min="12475" max="12475" width="4.85546875" style="44" customWidth="1"/>
    <col min="12476" max="12480" width="0" style="44" hidden="1" customWidth="1"/>
    <col min="12481" max="12481" width="39.42578125" style="44" customWidth="1"/>
    <col min="12482" max="12482" width="5.42578125" style="44" customWidth="1"/>
    <col min="12483" max="12490" width="7.140625" style="44" customWidth="1"/>
    <col min="12491" max="12494" width="7.28515625" style="44" customWidth="1"/>
    <col min="12495" max="12498" width="7.42578125" style="44" customWidth="1"/>
    <col min="12499" max="12502" width="7.28515625" style="44" customWidth="1"/>
    <col min="12503" max="12506" width="7.7109375" style="44" customWidth="1"/>
    <col min="12507" max="12507" width="1.140625" style="44" customWidth="1"/>
    <col min="12508" max="12508" width="0.85546875" style="44" customWidth="1"/>
    <col min="12509" max="12512" width="6.5703125" style="44" customWidth="1"/>
    <col min="12513" max="12520" width="0" style="44" hidden="1" customWidth="1"/>
    <col min="12521" max="12521" width="9.5703125" style="44" customWidth="1"/>
    <col min="12522" max="12525" width="6.85546875" style="44" customWidth="1"/>
    <col min="12526" max="12541" width="7.28515625" style="44" customWidth="1"/>
    <col min="12542" max="12542" width="0.85546875" style="44" customWidth="1"/>
    <col min="12543" max="12730" width="8.85546875" style="44"/>
    <col min="12731" max="12731" width="4.85546875" style="44" customWidth="1"/>
    <col min="12732" max="12736" width="0" style="44" hidden="1" customWidth="1"/>
    <col min="12737" max="12737" width="39.42578125" style="44" customWidth="1"/>
    <col min="12738" max="12738" width="5.42578125" style="44" customWidth="1"/>
    <col min="12739" max="12746" width="7.140625" style="44" customWidth="1"/>
    <col min="12747" max="12750" width="7.28515625" style="44" customWidth="1"/>
    <col min="12751" max="12754" width="7.42578125" style="44" customWidth="1"/>
    <col min="12755" max="12758" width="7.28515625" style="44" customWidth="1"/>
    <col min="12759" max="12762" width="7.7109375" style="44" customWidth="1"/>
    <col min="12763" max="12763" width="1.140625" style="44" customWidth="1"/>
    <col min="12764" max="12764" width="0.85546875" style="44" customWidth="1"/>
    <col min="12765" max="12768" width="6.5703125" style="44" customWidth="1"/>
    <col min="12769" max="12776" width="0" style="44" hidden="1" customWidth="1"/>
    <col min="12777" max="12777" width="9.5703125" style="44" customWidth="1"/>
    <col min="12778" max="12781" width="6.85546875" style="44" customWidth="1"/>
    <col min="12782" max="12797" width="7.28515625" style="44" customWidth="1"/>
    <col min="12798" max="12798" width="0.85546875" style="44" customWidth="1"/>
    <col min="12799" max="12986" width="8.85546875" style="44"/>
    <col min="12987" max="12987" width="4.85546875" style="44" customWidth="1"/>
    <col min="12988" max="12992" width="0" style="44" hidden="1" customWidth="1"/>
    <col min="12993" max="12993" width="39.42578125" style="44" customWidth="1"/>
    <col min="12994" max="12994" width="5.42578125" style="44" customWidth="1"/>
    <col min="12995" max="13002" width="7.140625" style="44" customWidth="1"/>
    <col min="13003" max="13006" width="7.28515625" style="44" customWidth="1"/>
    <col min="13007" max="13010" width="7.42578125" style="44" customWidth="1"/>
    <col min="13011" max="13014" width="7.28515625" style="44" customWidth="1"/>
    <col min="13015" max="13018" width="7.7109375" style="44" customWidth="1"/>
    <col min="13019" max="13019" width="1.140625" style="44" customWidth="1"/>
    <col min="13020" max="13020" width="0.85546875" style="44" customWidth="1"/>
    <col min="13021" max="13024" width="6.5703125" style="44" customWidth="1"/>
    <col min="13025" max="13032" width="0" style="44" hidden="1" customWidth="1"/>
    <col min="13033" max="13033" width="9.5703125" style="44" customWidth="1"/>
    <col min="13034" max="13037" width="6.85546875" style="44" customWidth="1"/>
    <col min="13038" max="13053" width="7.28515625" style="44" customWidth="1"/>
    <col min="13054" max="13054" width="0.85546875" style="44" customWidth="1"/>
    <col min="13055" max="13242" width="8.85546875" style="44"/>
    <col min="13243" max="13243" width="4.85546875" style="44" customWidth="1"/>
    <col min="13244" max="13248" width="0" style="44" hidden="1" customWidth="1"/>
    <col min="13249" max="13249" width="39.42578125" style="44" customWidth="1"/>
    <col min="13250" max="13250" width="5.42578125" style="44" customWidth="1"/>
    <col min="13251" max="13258" width="7.140625" style="44" customWidth="1"/>
    <col min="13259" max="13262" width="7.28515625" style="44" customWidth="1"/>
    <col min="13263" max="13266" width="7.42578125" style="44" customWidth="1"/>
    <col min="13267" max="13270" width="7.28515625" style="44" customWidth="1"/>
    <col min="13271" max="13274" width="7.7109375" style="44" customWidth="1"/>
    <col min="13275" max="13275" width="1.140625" style="44" customWidth="1"/>
    <col min="13276" max="13276" width="0.85546875" style="44" customWidth="1"/>
    <col min="13277" max="13280" width="6.5703125" style="44" customWidth="1"/>
    <col min="13281" max="13288" width="0" style="44" hidden="1" customWidth="1"/>
    <col min="13289" max="13289" width="9.5703125" style="44" customWidth="1"/>
    <col min="13290" max="13293" width="6.85546875" style="44" customWidth="1"/>
    <col min="13294" max="13309" width="7.28515625" style="44" customWidth="1"/>
    <col min="13310" max="13310" width="0.85546875" style="44" customWidth="1"/>
    <col min="13311" max="13498" width="8.85546875" style="44"/>
    <col min="13499" max="13499" width="4.85546875" style="44" customWidth="1"/>
    <col min="13500" max="13504" width="0" style="44" hidden="1" customWidth="1"/>
    <col min="13505" max="13505" width="39.42578125" style="44" customWidth="1"/>
    <col min="13506" max="13506" width="5.42578125" style="44" customWidth="1"/>
    <col min="13507" max="13514" width="7.140625" style="44" customWidth="1"/>
    <col min="13515" max="13518" width="7.28515625" style="44" customWidth="1"/>
    <col min="13519" max="13522" width="7.42578125" style="44" customWidth="1"/>
    <col min="13523" max="13526" width="7.28515625" style="44" customWidth="1"/>
    <col min="13527" max="13530" width="7.7109375" style="44" customWidth="1"/>
    <col min="13531" max="13531" width="1.140625" style="44" customWidth="1"/>
    <col min="13532" max="13532" width="0.85546875" style="44" customWidth="1"/>
    <col min="13533" max="13536" width="6.5703125" style="44" customWidth="1"/>
    <col min="13537" max="13544" width="0" style="44" hidden="1" customWidth="1"/>
    <col min="13545" max="13545" width="9.5703125" style="44" customWidth="1"/>
    <col min="13546" max="13549" width="6.85546875" style="44" customWidth="1"/>
    <col min="13550" max="13565" width="7.28515625" style="44" customWidth="1"/>
    <col min="13566" max="13566" width="0.85546875" style="44" customWidth="1"/>
    <col min="13567" max="13754" width="8.85546875" style="44"/>
    <col min="13755" max="13755" width="4.85546875" style="44" customWidth="1"/>
    <col min="13756" max="13760" width="0" style="44" hidden="1" customWidth="1"/>
    <col min="13761" max="13761" width="39.42578125" style="44" customWidth="1"/>
    <col min="13762" max="13762" width="5.42578125" style="44" customWidth="1"/>
    <col min="13763" max="13770" width="7.140625" style="44" customWidth="1"/>
    <col min="13771" max="13774" width="7.28515625" style="44" customWidth="1"/>
    <col min="13775" max="13778" width="7.42578125" style="44" customWidth="1"/>
    <col min="13779" max="13782" width="7.28515625" style="44" customWidth="1"/>
    <col min="13783" max="13786" width="7.7109375" style="44" customWidth="1"/>
    <col min="13787" max="13787" width="1.140625" style="44" customWidth="1"/>
    <col min="13788" max="13788" width="0.85546875" style="44" customWidth="1"/>
    <col min="13789" max="13792" width="6.5703125" style="44" customWidth="1"/>
    <col min="13793" max="13800" width="0" style="44" hidden="1" customWidth="1"/>
    <col min="13801" max="13801" width="9.5703125" style="44" customWidth="1"/>
    <col min="13802" max="13805" width="6.85546875" style="44" customWidth="1"/>
    <col min="13806" max="13821" width="7.28515625" style="44" customWidth="1"/>
    <col min="13822" max="13822" width="0.85546875" style="44" customWidth="1"/>
    <col min="13823" max="14010" width="8.85546875" style="44"/>
    <col min="14011" max="14011" width="4.85546875" style="44" customWidth="1"/>
    <col min="14012" max="14016" width="0" style="44" hidden="1" customWidth="1"/>
    <col min="14017" max="14017" width="39.42578125" style="44" customWidth="1"/>
    <col min="14018" max="14018" width="5.42578125" style="44" customWidth="1"/>
    <col min="14019" max="14026" width="7.140625" style="44" customWidth="1"/>
    <col min="14027" max="14030" width="7.28515625" style="44" customWidth="1"/>
    <col min="14031" max="14034" width="7.42578125" style="44" customWidth="1"/>
    <col min="14035" max="14038" width="7.28515625" style="44" customWidth="1"/>
    <col min="14039" max="14042" width="7.7109375" style="44" customWidth="1"/>
    <col min="14043" max="14043" width="1.140625" style="44" customWidth="1"/>
    <col min="14044" max="14044" width="0.85546875" style="44" customWidth="1"/>
    <col min="14045" max="14048" width="6.5703125" style="44" customWidth="1"/>
    <col min="14049" max="14056" width="0" style="44" hidden="1" customWidth="1"/>
    <col min="14057" max="14057" width="9.5703125" style="44" customWidth="1"/>
    <col min="14058" max="14061" width="6.85546875" style="44" customWidth="1"/>
    <col min="14062" max="14077" width="7.28515625" style="44" customWidth="1"/>
    <col min="14078" max="14078" width="0.85546875" style="44" customWidth="1"/>
    <col min="14079" max="14266" width="8.85546875" style="44"/>
    <col min="14267" max="14267" width="4.85546875" style="44" customWidth="1"/>
    <col min="14268" max="14272" width="0" style="44" hidden="1" customWidth="1"/>
    <col min="14273" max="14273" width="39.42578125" style="44" customWidth="1"/>
    <col min="14274" max="14274" width="5.42578125" style="44" customWidth="1"/>
    <col min="14275" max="14282" width="7.140625" style="44" customWidth="1"/>
    <col min="14283" max="14286" width="7.28515625" style="44" customWidth="1"/>
    <col min="14287" max="14290" width="7.42578125" style="44" customWidth="1"/>
    <col min="14291" max="14294" width="7.28515625" style="44" customWidth="1"/>
    <col min="14295" max="14298" width="7.7109375" style="44" customWidth="1"/>
    <col min="14299" max="14299" width="1.140625" style="44" customWidth="1"/>
    <col min="14300" max="14300" width="0.85546875" style="44" customWidth="1"/>
    <col min="14301" max="14304" width="6.5703125" style="44" customWidth="1"/>
    <col min="14305" max="14312" width="0" style="44" hidden="1" customWidth="1"/>
    <col min="14313" max="14313" width="9.5703125" style="44" customWidth="1"/>
    <col min="14314" max="14317" width="6.85546875" style="44" customWidth="1"/>
    <col min="14318" max="14333" width="7.28515625" style="44" customWidth="1"/>
    <col min="14334" max="14334" width="0.85546875" style="44" customWidth="1"/>
    <col min="14335" max="14522" width="8.85546875" style="44"/>
    <col min="14523" max="14523" width="4.85546875" style="44" customWidth="1"/>
    <col min="14524" max="14528" width="0" style="44" hidden="1" customWidth="1"/>
    <col min="14529" max="14529" width="39.42578125" style="44" customWidth="1"/>
    <col min="14530" max="14530" width="5.42578125" style="44" customWidth="1"/>
    <col min="14531" max="14538" width="7.140625" style="44" customWidth="1"/>
    <col min="14539" max="14542" width="7.28515625" style="44" customWidth="1"/>
    <col min="14543" max="14546" width="7.42578125" style="44" customWidth="1"/>
    <col min="14547" max="14550" width="7.28515625" style="44" customWidth="1"/>
    <col min="14551" max="14554" width="7.7109375" style="44" customWidth="1"/>
    <col min="14555" max="14555" width="1.140625" style="44" customWidth="1"/>
    <col min="14556" max="14556" width="0.85546875" style="44" customWidth="1"/>
    <col min="14557" max="14560" width="6.5703125" style="44" customWidth="1"/>
    <col min="14561" max="14568" width="0" style="44" hidden="1" customWidth="1"/>
    <col min="14569" max="14569" width="9.5703125" style="44" customWidth="1"/>
    <col min="14570" max="14573" width="6.85546875" style="44" customWidth="1"/>
    <col min="14574" max="14589" width="7.28515625" style="44" customWidth="1"/>
    <col min="14590" max="14590" width="0.85546875" style="44" customWidth="1"/>
    <col min="14591" max="14778" width="8.85546875" style="44"/>
    <col min="14779" max="14779" width="4.85546875" style="44" customWidth="1"/>
    <col min="14780" max="14784" width="0" style="44" hidden="1" customWidth="1"/>
    <col min="14785" max="14785" width="39.42578125" style="44" customWidth="1"/>
    <col min="14786" max="14786" width="5.42578125" style="44" customWidth="1"/>
    <col min="14787" max="14794" width="7.140625" style="44" customWidth="1"/>
    <col min="14795" max="14798" width="7.28515625" style="44" customWidth="1"/>
    <col min="14799" max="14802" width="7.42578125" style="44" customWidth="1"/>
    <col min="14803" max="14806" width="7.28515625" style="44" customWidth="1"/>
    <col min="14807" max="14810" width="7.7109375" style="44" customWidth="1"/>
    <col min="14811" max="14811" width="1.140625" style="44" customWidth="1"/>
    <col min="14812" max="14812" width="0.85546875" style="44" customWidth="1"/>
    <col min="14813" max="14816" width="6.5703125" style="44" customWidth="1"/>
    <col min="14817" max="14824" width="0" style="44" hidden="1" customWidth="1"/>
    <col min="14825" max="14825" width="9.5703125" style="44" customWidth="1"/>
    <col min="14826" max="14829" width="6.85546875" style="44" customWidth="1"/>
    <col min="14830" max="14845" width="7.28515625" style="44" customWidth="1"/>
    <col min="14846" max="14846" width="0.85546875" style="44" customWidth="1"/>
    <col min="14847" max="15034" width="8.85546875" style="44"/>
    <col min="15035" max="15035" width="4.85546875" style="44" customWidth="1"/>
    <col min="15036" max="15040" width="0" style="44" hidden="1" customWidth="1"/>
    <col min="15041" max="15041" width="39.42578125" style="44" customWidth="1"/>
    <col min="15042" max="15042" width="5.42578125" style="44" customWidth="1"/>
    <col min="15043" max="15050" width="7.140625" style="44" customWidth="1"/>
    <col min="15051" max="15054" width="7.28515625" style="44" customWidth="1"/>
    <col min="15055" max="15058" width="7.42578125" style="44" customWidth="1"/>
    <col min="15059" max="15062" width="7.28515625" style="44" customWidth="1"/>
    <col min="15063" max="15066" width="7.7109375" style="44" customWidth="1"/>
    <col min="15067" max="15067" width="1.140625" style="44" customWidth="1"/>
    <col min="15068" max="15068" width="0.85546875" style="44" customWidth="1"/>
    <col min="15069" max="15072" width="6.5703125" style="44" customWidth="1"/>
    <col min="15073" max="15080" width="0" style="44" hidden="1" customWidth="1"/>
    <col min="15081" max="15081" width="9.5703125" style="44" customWidth="1"/>
    <col min="15082" max="15085" width="6.85546875" style="44" customWidth="1"/>
    <col min="15086" max="15101" width="7.28515625" style="44" customWidth="1"/>
    <col min="15102" max="15102" width="0.85546875" style="44" customWidth="1"/>
    <col min="15103" max="15290" width="8.85546875" style="44"/>
    <col min="15291" max="15291" width="4.85546875" style="44" customWidth="1"/>
    <col min="15292" max="15296" width="0" style="44" hidden="1" customWidth="1"/>
    <col min="15297" max="15297" width="39.42578125" style="44" customWidth="1"/>
    <col min="15298" max="15298" width="5.42578125" style="44" customWidth="1"/>
    <col min="15299" max="15306" width="7.140625" style="44" customWidth="1"/>
    <col min="15307" max="15310" width="7.28515625" style="44" customWidth="1"/>
    <col min="15311" max="15314" width="7.42578125" style="44" customWidth="1"/>
    <col min="15315" max="15318" width="7.28515625" style="44" customWidth="1"/>
    <col min="15319" max="15322" width="7.7109375" style="44" customWidth="1"/>
    <col min="15323" max="15323" width="1.140625" style="44" customWidth="1"/>
    <col min="15324" max="15324" width="0.85546875" style="44" customWidth="1"/>
    <col min="15325" max="15328" width="6.5703125" style="44" customWidth="1"/>
    <col min="15329" max="15336" width="0" style="44" hidden="1" customWidth="1"/>
    <col min="15337" max="15337" width="9.5703125" style="44" customWidth="1"/>
    <col min="15338" max="15341" width="6.85546875" style="44" customWidth="1"/>
    <col min="15342" max="15357" width="7.28515625" style="44" customWidth="1"/>
    <col min="15358" max="15358" width="0.85546875" style="44" customWidth="1"/>
    <col min="15359" max="15546" width="8.85546875" style="44"/>
    <col min="15547" max="15547" width="4.85546875" style="44" customWidth="1"/>
    <col min="15548" max="15552" width="0" style="44" hidden="1" customWidth="1"/>
    <col min="15553" max="15553" width="39.42578125" style="44" customWidth="1"/>
    <col min="15554" max="15554" width="5.42578125" style="44" customWidth="1"/>
    <col min="15555" max="15562" width="7.140625" style="44" customWidth="1"/>
    <col min="15563" max="15566" width="7.28515625" style="44" customWidth="1"/>
    <col min="15567" max="15570" width="7.42578125" style="44" customWidth="1"/>
    <col min="15571" max="15574" width="7.28515625" style="44" customWidth="1"/>
    <col min="15575" max="15578" width="7.7109375" style="44" customWidth="1"/>
    <col min="15579" max="15579" width="1.140625" style="44" customWidth="1"/>
    <col min="15580" max="15580" width="0.85546875" style="44" customWidth="1"/>
    <col min="15581" max="15584" width="6.5703125" style="44" customWidth="1"/>
    <col min="15585" max="15592" width="0" style="44" hidden="1" customWidth="1"/>
    <col min="15593" max="15593" width="9.5703125" style="44" customWidth="1"/>
    <col min="15594" max="15597" width="6.85546875" style="44" customWidth="1"/>
    <col min="15598" max="15613" width="7.28515625" style="44" customWidth="1"/>
    <col min="15614" max="15614" width="0.85546875" style="44" customWidth="1"/>
    <col min="15615" max="15802" width="8.85546875" style="44"/>
    <col min="15803" max="15803" width="4.85546875" style="44" customWidth="1"/>
    <col min="15804" max="15808" width="0" style="44" hidden="1" customWidth="1"/>
    <col min="15809" max="15809" width="39.42578125" style="44" customWidth="1"/>
    <col min="15810" max="15810" width="5.42578125" style="44" customWidth="1"/>
    <col min="15811" max="15818" width="7.140625" style="44" customWidth="1"/>
    <col min="15819" max="15822" width="7.28515625" style="44" customWidth="1"/>
    <col min="15823" max="15826" width="7.42578125" style="44" customWidth="1"/>
    <col min="15827" max="15830" width="7.28515625" style="44" customWidth="1"/>
    <col min="15831" max="15834" width="7.7109375" style="44" customWidth="1"/>
    <col min="15835" max="15835" width="1.140625" style="44" customWidth="1"/>
    <col min="15836" max="15836" width="0.85546875" style="44" customWidth="1"/>
    <col min="15837" max="15840" width="6.5703125" style="44" customWidth="1"/>
    <col min="15841" max="15848" width="0" style="44" hidden="1" customWidth="1"/>
    <col min="15849" max="15849" width="9.5703125" style="44" customWidth="1"/>
    <col min="15850" max="15853" width="6.85546875" style="44" customWidth="1"/>
    <col min="15854" max="15869" width="7.28515625" style="44" customWidth="1"/>
    <col min="15870" max="15870" width="0.85546875" style="44" customWidth="1"/>
    <col min="15871" max="16058" width="8.85546875" style="44"/>
    <col min="16059" max="16059" width="4.85546875" style="44" customWidth="1"/>
    <col min="16060" max="16064" width="0" style="44" hidden="1" customWidth="1"/>
    <col min="16065" max="16065" width="39.42578125" style="44" customWidth="1"/>
    <col min="16066" max="16066" width="5.42578125" style="44" customWidth="1"/>
    <col min="16067" max="16074" width="7.140625" style="44" customWidth="1"/>
    <col min="16075" max="16078" width="7.28515625" style="44" customWidth="1"/>
    <col min="16079" max="16082" width="7.42578125" style="44" customWidth="1"/>
    <col min="16083" max="16086" width="7.28515625" style="44" customWidth="1"/>
    <col min="16087" max="16090" width="7.7109375" style="44" customWidth="1"/>
    <col min="16091" max="16091" width="1.140625" style="44" customWidth="1"/>
    <col min="16092" max="16092" width="0.85546875" style="44" customWidth="1"/>
    <col min="16093" max="16096" width="6.5703125" style="44" customWidth="1"/>
    <col min="16097" max="16104" width="0" style="44" hidden="1" customWidth="1"/>
    <col min="16105" max="16105" width="9.5703125" style="44" customWidth="1"/>
    <col min="16106" max="16109" width="6.85546875" style="44" customWidth="1"/>
    <col min="16110" max="16125" width="7.28515625" style="44" customWidth="1"/>
    <col min="16126" max="16126" width="0.85546875" style="44" customWidth="1"/>
    <col min="16127" max="16384" width="8.85546875" style="44"/>
  </cols>
  <sheetData>
    <row r="1" spans="1:10" hidden="1" x14ac:dyDescent="0.2"/>
    <row r="2" spans="1:10" ht="18.75" hidden="1" x14ac:dyDescent="0.3">
      <c r="H2" s="45"/>
      <c r="I2" s="45"/>
    </row>
    <row r="3" spans="1:10" ht="18.75" hidden="1" x14ac:dyDescent="0.3">
      <c r="H3" s="45"/>
      <c r="I3" s="45"/>
    </row>
    <row r="4" spans="1:10" ht="18.75" hidden="1" x14ac:dyDescent="0.3">
      <c r="H4" s="46"/>
      <c r="I4" s="46"/>
    </row>
    <row r="5" spans="1:10" ht="15.75" x14ac:dyDescent="0.25">
      <c r="B5" s="47"/>
      <c r="C5" s="47"/>
      <c r="D5" s="48"/>
      <c r="E5" s="48"/>
      <c r="F5" s="133" t="s">
        <v>90</v>
      </c>
      <c r="G5" s="133"/>
      <c r="H5" s="133"/>
      <c r="I5" s="133"/>
    </row>
    <row r="6" spans="1:10" ht="15.75" x14ac:dyDescent="0.25">
      <c r="B6" s="49"/>
      <c r="C6" s="50"/>
      <c r="D6" s="50"/>
      <c r="E6" s="48"/>
      <c r="F6" s="133"/>
      <c r="G6" s="133"/>
      <c r="H6" s="133"/>
      <c r="I6" s="133"/>
    </row>
    <row r="7" spans="1:10" ht="15.75" x14ac:dyDescent="0.25">
      <c r="B7" s="47"/>
      <c r="C7" s="47"/>
      <c r="D7" s="48"/>
      <c r="E7" s="48"/>
      <c r="F7" s="133"/>
      <c r="G7" s="133"/>
      <c r="H7" s="133"/>
      <c r="I7" s="133"/>
      <c r="J7" s="51"/>
    </row>
    <row r="8" spans="1:10" ht="15.75" hidden="1" x14ac:dyDescent="0.25">
      <c r="B8" s="47"/>
      <c r="C8" s="47"/>
      <c r="D8" s="48"/>
      <c r="E8" s="48"/>
      <c r="F8" s="133"/>
      <c r="G8" s="133"/>
      <c r="H8" s="133"/>
      <c r="I8" s="133"/>
    </row>
    <row r="9" spans="1:10" ht="15.75" hidden="1" x14ac:dyDescent="0.25">
      <c r="C9" s="52"/>
      <c r="D9" s="48"/>
      <c r="E9" s="48"/>
      <c r="F9" s="48"/>
      <c r="G9" s="48"/>
      <c r="H9" s="48"/>
      <c r="I9" s="52"/>
    </row>
    <row r="10" spans="1:10" ht="19.149999999999999" customHeight="1" x14ac:dyDescent="0.25">
      <c r="B10" s="53"/>
      <c r="C10" s="53"/>
      <c r="D10" s="48"/>
      <c r="E10" s="48"/>
      <c r="F10" s="135" t="s">
        <v>91</v>
      </c>
      <c r="G10" s="135"/>
      <c r="H10" s="135"/>
      <c r="I10" s="135"/>
    </row>
    <row r="11" spans="1:10" ht="14.25" x14ac:dyDescent="0.2">
      <c r="B11" s="54"/>
      <c r="C11" s="54"/>
      <c r="H11" s="54"/>
      <c r="I11" s="54"/>
    </row>
    <row r="12" spans="1:10" hidden="1" x14ac:dyDescent="0.2"/>
    <row r="13" spans="1:10" hidden="1" x14ac:dyDescent="0.2"/>
    <row r="14" spans="1:10" ht="17.45" customHeight="1" x14ac:dyDescent="0.2">
      <c r="A14" s="134" t="s">
        <v>63</v>
      </c>
      <c r="B14" s="134"/>
      <c r="C14" s="134"/>
      <c r="D14" s="134"/>
      <c r="E14" s="134"/>
      <c r="F14" s="134"/>
      <c r="G14" s="134"/>
      <c r="H14" s="134"/>
      <c r="I14" s="134"/>
    </row>
    <row r="15" spans="1:10" ht="17.45" customHeight="1" x14ac:dyDescent="0.2">
      <c r="A15" s="134"/>
      <c r="B15" s="134"/>
      <c r="C15" s="134"/>
      <c r="D15" s="134"/>
      <c r="E15" s="134"/>
      <c r="F15" s="134"/>
      <c r="G15" s="134"/>
      <c r="H15" s="134"/>
      <c r="I15" s="134"/>
    </row>
    <row r="16" spans="1:10" ht="15.6" customHeight="1" x14ac:dyDescent="0.2">
      <c r="A16" s="134"/>
      <c r="B16" s="134"/>
      <c r="C16" s="134"/>
      <c r="D16" s="134"/>
      <c r="E16" s="134"/>
      <c r="F16" s="134"/>
      <c r="G16" s="134"/>
      <c r="H16" s="134"/>
      <c r="I16" s="134"/>
    </row>
    <row r="17" spans="1:19" s="55" customFormat="1" ht="9.6" customHeight="1" thickBot="1" x14ac:dyDescent="0.25">
      <c r="H17" s="56">
        <v>1000</v>
      </c>
    </row>
    <row r="18" spans="1:19" ht="36" customHeight="1" thickBot="1" x14ac:dyDescent="0.25">
      <c r="A18" s="160" t="s">
        <v>8</v>
      </c>
      <c r="B18" s="162" t="s">
        <v>64</v>
      </c>
      <c r="C18" s="163"/>
      <c r="D18" s="168" t="s">
        <v>65</v>
      </c>
      <c r="E18" s="169"/>
      <c r="F18" s="169"/>
      <c r="G18" s="169"/>
      <c r="H18" s="169"/>
      <c r="I18" s="170"/>
    </row>
    <row r="19" spans="1:19" x14ac:dyDescent="0.2">
      <c r="A19" s="161"/>
      <c r="B19" s="164"/>
      <c r="C19" s="165"/>
      <c r="D19" s="171" t="s">
        <v>66</v>
      </c>
      <c r="E19" s="172"/>
      <c r="F19" s="171" t="s">
        <v>67</v>
      </c>
      <c r="G19" s="172"/>
      <c r="H19" s="171" t="s">
        <v>68</v>
      </c>
      <c r="I19" s="172"/>
    </row>
    <row r="20" spans="1:19" x14ac:dyDescent="0.2">
      <c r="A20" s="161"/>
      <c r="B20" s="164"/>
      <c r="C20" s="165"/>
      <c r="D20" s="173"/>
      <c r="E20" s="174"/>
      <c r="F20" s="173"/>
      <c r="G20" s="174"/>
      <c r="H20" s="173"/>
      <c r="I20" s="174"/>
    </row>
    <row r="21" spans="1:19" ht="22.15" customHeight="1" x14ac:dyDescent="0.2">
      <c r="A21" s="161"/>
      <c r="B21" s="164"/>
      <c r="C21" s="165"/>
      <c r="D21" s="173"/>
      <c r="E21" s="174"/>
      <c r="F21" s="173"/>
      <c r="G21" s="174"/>
      <c r="H21" s="173"/>
      <c r="I21" s="174"/>
    </row>
    <row r="22" spans="1:19" ht="52.15" customHeight="1" x14ac:dyDescent="0.2">
      <c r="A22" s="161"/>
      <c r="B22" s="164"/>
      <c r="C22" s="165"/>
      <c r="D22" s="175"/>
      <c r="E22" s="176"/>
      <c r="F22" s="175"/>
      <c r="G22" s="176"/>
      <c r="H22" s="175"/>
      <c r="I22" s="176"/>
    </row>
    <row r="23" spans="1:19" ht="25.9" customHeight="1" thickBot="1" x14ac:dyDescent="0.25">
      <c r="A23" s="161"/>
      <c r="B23" s="166"/>
      <c r="C23" s="167"/>
      <c r="D23" s="57" t="s">
        <v>69</v>
      </c>
      <c r="E23" s="58" t="s">
        <v>70</v>
      </c>
      <c r="F23" s="57" t="s">
        <v>69</v>
      </c>
      <c r="G23" s="58" t="s">
        <v>70</v>
      </c>
      <c r="H23" s="57" t="s">
        <v>69</v>
      </c>
      <c r="I23" s="58" t="s">
        <v>70</v>
      </c>
    </row>
    <row r="24" spans="1:19" ht="19.5" thickBot="1" x14ac:dyDescent="0.35">
      <c r="A24" s="138" t="s">
        <v>9</v>
      </c>
      <c r="B24" s="139"/>
      <c r="C24" s="139"/>
      <c r="D24" s="139"/>
      <c r="E24" s="139"/>
      <c r="F24" s="139"/>
      <c r="G24" s="139"/>
      <c r="H24" s="139"/>
      <c r="I24" s="140"/>
    </row>
    <row r="25" spans="1:19" ht="3.6" hidden="1" customHeight="1" thickBot="1" x14ac:dyDescent="0.3">
      <c r="A25" s="59"/>
      <c r="B25" s="60"/>
      <c r="C25" s="60"/>
      <c r="D25" s="61"/>
      <c r="E25" s="61"/>
      <c r="F25" s="61"/>
      <c r="G25" s="61"/>
      <c r="H25" s="61"/>
      <c r="I25" s="62"/>
    </row>
    <row r="26" spans="1:19" ht="31.15" customHeight="1" x14ac:dyDescent="0.25">
      <c r="A26" s="63" t="s">
        <v>3</v>
      </c>
      <c r="B26" s="141" t="s">
        <v>71</v>
      </c>
      <c r="C26" s="142"/>
      <c r="D26" s="64"/>
      <c r="E26" s="65">
        <f>29100/3</f>
        <v>9700</v>
      </c>
      <c r="F26" s="64"/>
      <c r="G26" s="65">
        <f>21000/3</f>
        <v>7000</v>
      </c>
      <c r="H26" s="64"/>
      <c r="I26" s="66">
        <f>25200/4</f>
        <v>6300</v>
      </c>
      <c r="K26" s="67"/>
      <c r="N26" s="68">
        <f>D26*3</f>
        <v>0</v>
      </c>
      <c r="O26" s="69">
        <f t="shared" ref="O26:Q28" si="0">E26*3</f>
        <v>29100</v>
      </c>
      <c r="P26" s="69">
        <f t="shared" si="0"/>
        <v>0</v>
      </c>
      <c r="Q26" s="69">
        <f t="shared" si="0"/>
        <v>21000</v>
      </c>
      <c r="R26" s="69">
        <f>H26*4</f>
        <v>0</v>
      </c>
      <c r="S26" s="69">
        <f>I26*4</f>
        <v>25200</v>
      </c>
    </row>
    <row r="27" spans="1:19" ht="42.6" customHeight="1" x14ac:dyDescent="0.25">
      <c r="A27" s="70" t="s">
        <v>4</v>
      </c>
      <c r="B27" s="143" t="s">
        <v>72</v>
      </c>
      <c r="C27" s="144"/>
      <c r="D27" s="71">
        <f>45900/3</f>
        <v>15300</v>
      </c>
      <c r="E27" s="72">
        <f>39000/3</f>
        <v>13000</v>
      </c>
      <c r="F27" s="71">
        <f>35100/3</f>
        <v>11700</v>
      </c>
      <c r="G27" s="72">
        <f>28200/3</f>
        <v>9400</v>
      </c>
      <c r="H27" s="71">
        <f>39200/4</f>
        <v>9800</v>
      </c>
      <c r="I27" s="73">
        <f>32000/4</f>
        <v>8000</v>
      </c>
      <c r="K27" s="67">
        <f t="shared" ref="K27:K36" si="1">D27-E27</f>
        <v>2300</v>
      </c>
      <c r="L27" s="67">
        <f>F27-G27</f>
        <v>2300</v>
      </c>
      <c r="M27" s="67">
        <f>H27-I27</f>
        <v>1800</v>
      </c>
      <c r="N27" s="69">
        <f t="shared" ref="N27:N28" si="2">D27*3</f>
        <v>45900</v>
      </c>
      <c r="O27" s="69">
        <f t="shared" si="0"/>
        <v>39000</v>
      </c>
      <c r="P27" s="69">
        <f t="shared" si="0"/>
        <v>35100</v>
      </c>
      <c r="Q27" s="69">
        <f t="shared" si="0"/>
        <v>28200</v>
      </c>
      <c r="R27" s="69">
        <f t="shared" ref="R27:S28" si="3">H27*4</f>
        <v>39200</v>
      </c>
      <c r="S27" s="69">
        <f t="shared" si="3"/>
        <v>32000</v>
      </c>
    </row>
    <row r="28" spans="1:19" ht="46.15" customHeight="1" thickBot="1" x14ac:dyDescent="0.3">
      <c r="A28" s="74" t="s">
        <v>5</v>
      </c>
      <c r="B28" s="145" t="s">
        <v>73</v>
      </c>
      <c r="C28" s="146"/>
      <c r="D28" s="75">
        <f>51900/3</f>
        <v>17300</v>
      </c>
      <c r="E28" s="76">
        <f>45000/3</f>
        <v>15000</v>
      </c>
      <c r="F28" s="75">
        <f>39900/3</f>
        <v>13300</v>
      </c>
      <c r="G28" s="76">
        <f>33000/3</f>
        <v>11000</v>
      </c>
      <c r="H28" s="71">
        <f>46000/4</f>
        <v>11500</v>
      </c>
      <c r="I28" s="73">
        <f>38800/4</f>
        <v>9700</v>
      </c>
      <c r="K28" s="67">
        <f t="shared" si="1"/>
        <v>2300</v>
      </c>
      <c r="L28" s="67">
        <f t="shared" ref="L28:L39" si="4">F28-G28</f>
        <v>2300</v>
      </c>
      <c r="M28" s="67">
        <f t="shared" ref="M28:M38" si="5">H28-I28</f>
        <v>1800</v>
      </c>
      <c r="N28" s="69">
        <f t="shared" si="2"/>
        <v>51900</v>
      </c>
      <c r="O28" s="69">
        <f t="shared" si="0"/>
        <v>45000</v>
      </c>
      <c r="P28" s="69">
        <f t="shared" si="0"/>
        <v>39900</v>
      </c>
      <c r="Q28" s="69">
        <f t="shared" si="0"/>
        <v>33000</v>
      </c>
      <c r="R28" s="69">
        <f t="shared" si="3"/>
        <v>46000</v>
      </c>
      <c r="S28" s="69">
        <f t="shared" si="3"/>
        <v>38800</v>
      </c>
    </row>
    <row r="29" spans="1:19" ht="4.1500000000000004" customHeight="1" thickBot="1" x14ac:dyDescent="0.3">
      <c r="A29" s="77"/>
      <c r="B29" s="78"/>
      <c r="C29" s="78"/>
      <c r="D29" s="61"/>
      <c r="E29" s="61"/>
      <c r="F29" s="61"/>
      <c r="G29" s="61"/>
      <c r="H29" s="61"/>
      <c r="I29" s="62"/>
      <c r="K29" s="67">
        <f t="shared" si="1"/>
        <v>0</v>
      </c>
      <c r="L29" s="67">
        <f t="shared" si="4"/>
        <v>0</v>
      </c>
      <c r="M29" s="67">
        <f t="shared" si="5"/>
        <v>0</v>
      </c>
      <c r="N29" s="79"/>
      <c r="O29" s="79"/>
      <c r="P29" s="79"/>
      <c r="Q29" s="79"/>
      <c r="R29" s="79"/>
      <c r="S29" s="79"/>
    </row>
    <row r="30" spans="1:19" ht="19.5" thickBot="1" x14ac:dyDescent="0.35">
      <c r="A30" s="147" t="s">
        <v>74</v>
      </c>
      <c r="B30" s="148"/>
      <c r="C30" s="148"/>
      <c r="D30" s="148"/>
      <c r="E30" s="148"/>
      <c r="F30" s="148"/>
      <c r="G30" s="148"/>
      <c r="H30" s="148"/>
      <c r="I30" s="149"/>
      <c r="K30" s="67">
        <f t="shared" si="1"/>
        <v>0</v>
      </c>
      <c r="L30" s="67">
        <f t="shared" si="4"/>
        <v>0</v>
      </c>
      <c r="M30" s="67">
        <f t="shared" si="5"/>
        <v>0</v>
      </c>
      <c r="N30" s="79"/>
      <c r="O30" s="79"/>
      <c r="P30" s="79"/>
      <c r="Q30" s="79"/>
      <c r="R30" s="79"/>
      <c r="S30" s="79"/>
    </row>
    <row r="31" spans="1:19" ht="15.75" hidden="1" x14ac:dyDescent="0.25">
      <c r="A31" s="80"/>
      <c r="B31" s="81"/>
      <c r="C31" s="81"/>
      <c r="D31" s="82"/>
      <c r="E31" s="83"/>
      <c r="F31" s="82"/>
      <c r="G31" s="83"/>
      <c r="H31" s="82"/>
      <c r="I31" s="84"/>
      <c r="K31" s="67">
        <f t="shared" si="1"/>
        <v>0</v>
      </c>
      <c r="L31" s="67">
        <f t="shared" si="4"/>
        <v>0</v>
      </c>
      <c r="M31" s="67">
        <f t="shared" si="5"/>
        <v>0</v>
      </c>
      <c r="N31" s="79"/>
      <c r="O31" s="79"/>
      <c r="P31" s="79"/>
      <c r="Q31" s="79"/>
      <c r="R31" s="79"/>
      <c r="S31" s="79"/>
    </row>
    <row r="32" spans="1:19" ht="32.450000000000003" customHeight="1" x14ac:dyDescent="0.25">
      <c r="A32" s="70" t="s">
        <v>3</v>
      </c>
      <c r="B32" s="150" t="s">
        <v>75</v>
      </c>
      <c r="C32" s="151"/>
      <c r="D32" s="71">
        <f>44100/3</f>
        <v>14700</v>
      </c>
      <c r="E32" s="72">
        <f>37200/3</f>
        <v>12400</v>
      </c>
      <c r="F32" s="71">
        <f>33000/3</f>
        <v>11000</v>
      </c>
      <c r="G32" s="72">
        <f>26100/3</f>
        <v>8700</v>
      </c>
      <c r="H32" s="71">
        <f>37200/4</f>
        <v>9300</v>
      </c>
      <c r="I32" s="73">
        <f>30000/4</f>
        <v>7500</v>
      </c>
      <c r="K32" s="67">
        <f t="shared" si="1"/>
        <v>2300</v>
      </c>
      <c r="L32" s="67">
        <f t="shared" si="4"/>
        <v>2300</v>
      </c>
      <c r="M32" s="67">
        <f t="shared" si="5"/>
        <v>1800</v>
      </c>
      <c r="N32" s="69">
        <f t="shared" ref="N32:Q34" si="6">D32*3</f>
        <v>44100</v>
      </c>
      <c r="O32" s="69">
        <f t="shared" si="6"/>
        <v>37200</v>
      </c>
      <c r="P32" s="69">
        <f t="shared" si="6"/>
        <v>33000</v>
      </c>
      <c r="Q32" s="69">
        <f t="shared" si="6"/>
        <v>26100</v>
      </c>
      <c r="R32" s="69">
        <f t="shared" ref="R32:S34" si="7">H32*4</f>
        <v>37200</v>
      </c>
      <c r="S32" s="69">
        <f t="shared" si="7"/>
        <v>30000</v>
      </c>
    </row>
    <row r="33" spans="1:19" ht="3.6" customHeight="1" x14ac:dyDescent="0.25">
      <c r="A33" s="85"/>
      <c r="B33" s="86"/>
      <c r="C33" s="86"/>
      <c r="D33" s="87"/>
      <c r="E33" s="88"/>
      <c r="F33" s="87"/>
      <c r="G33" s="88"/>
      <c r="H33" s="89"/>
      <c r="I33" s="90"/>
      <c r="K33" s="67">
        <f t="shared" si="1"/>
        <v>0</v>
      </c>
      <c r="L33" s="67">
        <f t="shared" si="4"/>
        <v>0</v>
      </c>
      <c r="M33" s="67">
        <f t="shared" si="5"/>
        <v>0</v>
      </c>
      <c r="N33" s="68">
        <f t="shared" si="6"/>
        <v>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7"/>
        <v>0</v>
      </c>
      <c r="S33" s="68">
        <f t="shared" si="7"/>
        <v>0</v>
      </c>
    </row>
    <row r="34" spans="1:19" ht="31.9" customHeight="1" x14ac:dyDescent="0.25">
      <c r="A34" s="70" t="s">
        <v>4</v>
      </c>
      <c r="B34" s="150" t="s">
        <v>76</v>
      </c>
      <c r="C34" s="151"/>
      <c r="D34" s="71">
        <f>54900/3</f>
        <v>18300</v>
      </c>
      <c r="E34" s="72">
        <f>48000/3</f>
        <v>16000</v>
      </c>
      <c r="F34" s="71">
        <f>42000/3</f>
        <v>14000</v>
      </c>
      <c r="G34" s="72">
        <f>35100/3</f>
        <v>11700</v>
      </c>
      <c r="H34" s="71">
        <f>49200/4</f>
        <v>12300</v>
      </c>
      <c r="I34" s="73">
        <f>42000/4</f>
        <v>10500</v>
      </c>
      <c r="K34" s="67">
        <f t="shared" si="1"/>
        <v>2300</v>
      </c>
      <c r="L34" s="67">
        <f t="shared" si="4"/>
        <v>2300</v>
      </c>
      <c r="M34" s="67">
        <f t="shared" si="5"/>
        <v>1800</v>
      </c>
      <c r="N34" s="69">
        <f t="shared" si="6"/>
        <v>54900</v>
      </c>
      <c r="O34" s="69">
        <f t="shared" si="6"/>
        <v>48000</v>
      </c>
      <c r="P34" s="69">
        <f t="shared" si="6"/>
        <v>42000</v>
      </c>
      <c r="Q34" s="69">
        <f t="shared" si="6"/>
        <v>35100</v>
      </c>
      <c r="R34" s="69">
        <f t="shared" si="7"/>
        <v>49200</v>
      </c>
      <c r="S34" s="69">
        <f t="shared" si="7"/>
        <v>42000</v>
      </c>
    </row>
    <row r="35" spans="1:19" ht="3.6" customHeight="1" x14ac:dyDescent="0.25">
      <c r="A35" s="91"/>
      <c r="B35" s="92"/>
      <c r="C35" s="92"/>
      <c r="D35" s="93"/>
      <c r="E35" s="93"/>
      <c r="F35" s="93"/>
      <c r="G35" s="93"/>
      <c r="H35" s="93"/>
      <c r="I35" s="94"/>
      <c r="K35" s="67">
        <f t="shared" si="1"/>
        <v>0</v>
      </c>
      <c r="L35" s="67">
        <f t="shared" si="4"/>
        <v>0</v>
      </c>
      <c r="M35" s="67">
        <f t="shared" si="5"/>
        <v>0</v>
      </c>
      <c r="N35" s="79"/>
      <c r="O35" s="79"/>
      <c r="P35" s="79"/>
      <c r="Q35" s="79"/>
      <c r="R35" s="79"/>
      <c r="S35" s="79"/>
    </row>
    <row r="36" spans="1:19" ht="7.9" hidden="1" customHeight="1" x14ac:dyDescent="0.25">
      <c r="A36" s="80"/>
      <c r="B36" s="86"/>
      <c r="C36" s="86"/>
      <c r="D36" s="87"/>
      <c r="E36" s="88"/>
      <c r="F36" s="87"/>
      <c r="G36" s="88"/>
      <c r="H36" s="89"/>
      <c r="I36" s="90"/>
      <c r="K36" s="67">
        <f t="shared" si="1"/>
        <v>0</v>
      </c>
      <c r="L36" s="67">
        <f t="shared" si="4"/>
        <v>0</v>
      </c>
      <c r="M36" s="67">
        <f t="shared" si="5"/>
        <v>0</v>
      </c>
      <c r="N36" s="79"/>
      <c r="O36" s="79"/>
      <c r="P36" s="79"/>
      <c r="Q36" s="79"/>
      <c r="R36" s="79"/>
      <c r="S36" s="79"/>
    </row>
    <row r="37" spans="1:19" ht="42.6" customHeight="1" x14ac:dyDescent="0.25">
      <c r="A37" s="153" t="s">
        <v>5</v>
      </c>
      <c r="B37" s="95" t="s">
        <v>77</v>
      </c>
      <c r="C37" s="154" t="s">
        <v>78</v>
      </c>
      <c r="D37" s="71">
        <f>66000/3</f>
        <v>22000</v>
      </c>
      <c r="E37" s="73">
        <f>59100/3</f>
        <v>19700</v>
      </c>
      <c r="F37" s="96">
        <f>50100/3</f>
        <v>16700</v>
      </c>
      <c r="G37" s="72">
        <f>43200/3</f>
        <v>14400</v>
      </c>
      <c r="H37" s="71">
        <f>57200/4</f>
        <v>14300</v>
      </c>
      <c r="I37" s="73">
        <f>50000/4</f>
        <v>12500</v>
      </c>
      <c r="K37" s="67">
        <f>D37-E37</f>
        <v>2300</v>
      </c>
      <c r="L37" s="67">
        <f t="shared" si="4"/>
        <v>2300</v>
      </c>
      <c r="M37" s="67">
        <f t="shared" si="5"/>
        <v>1800</v>
      </c>
      <c r="N37" s="69">
        <f t="shared" ref="N37:Q38" si="8">D37*3</f>
        <v>66000</v>
      </c>
      <c r="O37" s="69">
        <f t="shared" si="8"/>
        <v>59100</v>
      </c>
      <c r="P37" s="69">
        <f t="shared" si="8"/>
        <v>50100</v>
      </c>
      <c r="Q37" s="69">
        <f t="shared" si="8"/>
        <v>43200</v>
      </c>
      <c r="R37" s="69">
        <f t="shared" ref="R37:S38" si="9">H37*4</f>
        <v>57200</v>
      </c>
      <c r="S37" s="69">
        <f t="shared" si="9"/>
        <v>50000</v>
      </c>
    </row>
    <row r="38" spans="1:19" ht="45" x14ac:dyDescent="0.25">
      <c r="A38" s="153"/>
      <c r="B38" s="97" t="s">
        <v>79</v>
      </c>
      <c r="C38" s="154"/>
      <c r="D38" s="98">
        <f>83400/3</f>
        <v>27800</v>
      </c>
      <c r="E38" s="99">
        <f>D38-2300</f>
        <v>25500</v>
      </c>
      <c r="F38" s="100">
        <f>61800/3</f>
        <v>20600</v>
      </c>
      <c r="G38" s="101">
        <f>F38-2300</f>
        <v>18300</v>
      </c>
      <c r="H38" s="98">
        <f>71200/4</f>
        <v>17800</v>
      </c>
      <c r="I38" s="99">
        <f>H38-1800</f>
        <v>16000</v>
      </c>
      <c r="K38" s="67">
        <f>D38-E38</f>
        <v>2300</v>
      </c>
      <c r="L38" s="67">
        <f t="shared" si="4"/>
        <v>2300</v>
      </c>
      <c r="M38" s="67">
        <f t="shared" si="5"/>
        <v>1800</v>
      </c>
      <c r="N38" s="68">
        <f t="shared" si="8"/>
        <v>83400</v>
      </c>
      <c r="O38" s="68">
        <f t="shared" si="8"/>
        <v>76500</v>
      </c>
      <c r="P38" s="68">
        <f t="shared" si="8"/>
        <v>61800</v>
      </c>
      <c r="Q38" s="68">
        <f t="shared" si="8"/>
        <v>54900</v>
      </c>
      <c r="R38" s="68">
        <f t="shared" si="9"/>
        <v>71200</v>
      </c>
      <c r="S38" s="68">
        <f t="shared" si="9"/>
        <v>64000</v>
      </c>
    </row>
    <row r="39" spans="1:19" ht="15.75" hidden="1" x14ac:dyDescent="0.25">
      <c r="A39" s="80"/>
      <c r="B39" s="102"/>
      <c r="C39" s="102"/>
      <c r="D39" s="103"/>
      <c r="E39" s="86"/>
      <c r="F39" s="103"/>
      <c r="G39" s="86"/>
      <c r="H39" s="80"/>
      <c r="I39" s="104"/>
      <c r="L39" s="67">
        <f t="shared" si="4"/>
        <v>0</v>
      </c>
      <c r="N39" s="79"/>
      <c r="O39" s="79"/>
      <c r="P39" s="79"/>
      <c r="Q39" s="79"/>
      <c r="R39" s="79"/>
      <c r="S39" s="79"/>
    </row>
    <row r="40" spans="1:19" ht="15.75" hidden="1" x14ac:dyDescent="0.25">
      <c r="A40" s="105"/>
      <c r="B40" s="86"/>
      <c r="C40" s="86"/>
      <c r="D40" s="106"/>
      <c r="E40" s="107"/>
      <c r="F40" s="106"/>
      <c r="G40" s="107"/>
      <c r="H40" s="108"/>
      <c r="I40" s="109"/>
      <c r="N40" s="79"/>
      <c r="O40" s="79"/>
      <c r="P40" s="79"/>
      <c r="Q40" s="79"/>
      <c r="R40" s="79"/>
      <c r="S40" s="79"/>
    </row>
    <row r="41" spans="1:19" ht="16.899999999999999" customHeight="1" x14ac:dyDescent="0.25">
      <c r="A41" s="70" t="s">
        <v>6</v>
      </c>
      <c r="B41" s="155" t="s">
        <v>80</v>
      </c>
      <c r="C41" s="156"/>
      <c r="D41" s="71">
        <f>62100/3</f>
        <v>20700</v>
      </c>
      <c r="E41" s="72">
        <f>55200/3</f>
        <v>18400</v>
      </c>
      <c r="F41" s="71">
        <f>45900/3</f>
        <v>15300</v>
      </c>
      <c r="G41" s="72">
        <f>39000/3</f>
        <v>13000</v>
      </c>
      <c r="H41" s="71">
        <f>53200/4</f>
        <v>13300</v>
      </c>
      <c r="I41" s="73">
        <f>46000/4</f>
        <v>11500</v>
      </c>
      <c r="N41" s="69">
        <f t="shared" ref="N41:Q43" si="10">D41*3</f>
        <v>62100</v>
      </c>
      <c r="O41" s="69">
        <f t="shared" si="10"/>
        <v>55200</v>
      </c>
      <c r="P41" s="69">
        <f t="shared" si="10"/>
        <v>45900</v>
      </c>
      <c r="Q41" s="69">
        <f t="shared" si="10"/>
        <v>39000</v>
      </c>
      <c r="R41" s="69">
        <f t="shared" ref="R41:S43" si="11">H41*4</f>
        <v>53200</v>
      </c>
      <c r="S41" s="69">
        <f t="shared" si="11"/>
        <v>46000</v>
      </c>
    </row>
    <row r="42" spans="1:19" ht="45" customHeight="1" x14ac:dyDescent="0.25">
      <c r="A42" s="70" t="s">
        <v>7</v>
      </c>
      <c r="B42" s="151" t="s">
        <v>81</v>
      </c>
      <c r="C42" s="157"/>
      <c r="D42" s="71">
        <f>78000/3</f>
        <v>26000</v>
      </c>
      <c r="E42" s="72">
        <f>71100/3</f>
        <v>23700</v>
      </c>
      <c r="F42" s="71">
        <f>57000/3</f>
        <v>19000</v>
      </c>
      <c r="G42" s="72">
        <f>50100/3</f>
        <v>16700</v>
      </c>
      <c r="H42" s="71">
        <f>66000/4</f>
        <v>16500</v>
      </c>
      <c r="I42" s="73">
        <f>58800/4</f>
        <v>14700</v>
      </c>
      <c r="N42" s="110">
        <f t="shared" si="10"/>
        <v>78000</v>
      </c>
      <c r="O42" s="110">
        <f t="shared" si="10"/>
        <v>71100</v>
      </c>
      <c r="P42" s="110">
        <f t="shared" si="10"/>
        <v>57000</v>
      </c>
      <c r="Q42" s="110">
        <f t="shared" si="10"/>
        <v>50100</v>
      </c>
      <c r="R42" s="110">
        <f t="shared" si="11"/>
        <v>66000</v>
      </c>
      <c r="S42" s="110">
        <f t="shared" si="11"/>
        <v>58800</v>
      </c>
    </row>
    <row r="43" spans="1:19" ht="16.5" thickBot="1" x14ac:dyDescent="0.3">
      <c r="A43" s="111"/>
      <c r="B43" s="158" t="s">
        <v>82</v>
      </c>
      <c r="C43" s="159"/>
      <c r="D43" s="136">
        <f>15900/3</f>
        <v>5300</v>
      </c>
      <c r="E43" s="137"/>
      <c r="F43" s="136">
        <f>12900/3</f>
        <v>4300</v>
      </c>
      <c r="G43" s="137"/>
      <c r="H43" s="136">
        <f>14400/4</f>
        <v>3600</v>
      </c>
      <c r="I43" s="137"/>
      <c r="N43" s="152">
        <f t="shared" si="10"/>
        <v>15900</v>
      </c>
      <c r="O43" s="152"/>
      <c r="P43" s="152">
        <f t="shared" si="10"/>
        <v>12900</v>
      </c>
      <c r="Q43" s="152"/>
      <c r="R43" s="152">
        <f t="shared" si="11"/>
        <v>14400</v>
      </c>
      <c r="S43" s="152"/>
    </row>
    <row r="44" spans="1:19" ht="4.1500000000000004" customHeight="1" x14ac:dyDescent="0.2"/>
    <row r="45" spans="1:19" ht="15.75" x14ac:dyDescent="0.25">
      <c r="B45" s="53" t="s">
        <v>83</v>
      </c>
      <c r="D45" s="53"/>
      <c r="E45" s="53"/>
      <c r="F45" s="53"/>
      <c r="G45" s="53"/>
      <c r="H45" s="53"/>
      <c r="I45" s="53"/>
    </row>
    <row r="46" spans="1:19" ht="15.75" x14ac:dyDescent="0.25">
      <c r="A46" s="112" t="s">
        <v>3</v>
      </c>
      <c r="B46" s="48" t="s">
        <v>84</v>
      </c>
      <c r="D46" s="48"/>
      <c r="E46" s="48"/>
      <c r="F46" s="48"/>
      <c r="G46" s="48"/>
      <c r="H46" s="48"/>
      <c r="I46" s="48"/>
    </row>
    <row r="47" spans="1:19" ht="28.15" customHeight="1" x14ac:dyDescent="0.25">
      <c r="A47" s="53"/>
      <c r="B47" s="131" t="s">
        <v>85</v>
      </c>
      <c r="C47" s="131"/>
      <c r="D47" s="131"/>
      <c r="E47" s="131"/>
      <c r="F47" s="131"/>
      <c r="G47" s="131"/>
      <c r="H47" s="131"/>
      <c r="I47" s="131"/>
    </row>
    <row r="48" spans="1:19" ht="28.9" customHeight="1" x14ac:dyDescent="0.25">
      <c r="A48" s="53"/>
      <c r="B48" s="131" t="s">
        <v>86</v>
      </c>
      <c r="C48" s="131"/>
      <c r="D48" s="131"/>
      <c r="E48" s="131"/>
      <c r="F48" s="131"/>
      <c r="G48" s="131"/>
      <c r="H48" s="131"/>
      <c r="I48" s="131"/>
    </row>
    <row r="49" spans="1:9" ht="33" customHeight="1" x14ac:dyDescent="0.25">
      <c r="A49" s="112"/>
      <c r="B49" s="131" t="s">
        <v>87</v>
      </c>
      <c r="C49" s="131"/>
      <c r="D49" s="131"/>
      <c r="E49" s="131"/>
      <c r="F49" s="131"/>
      <c r="G49" s="131"/>
      <c r="H49" s="131"/>
      <c r="I49" s="131"/>
    </row>
    <row r="50" spans="1:9" ht="33" customHeight="1" x14ac:dyDescent="0.2">
      <c r="A50" s="113" t="s">
        <v>4</v>
      </c>
      <c r="B50" s="132" t="s">
        <v>88</v>
      </c>
      <c r="C50" s="132"/>
      <c r="D50" s="132"/>
      <c r="E50" s="132"/>
      <c r="F50" s="132"/>
      <c r="G50" s="132"/>
      <c r="H50" s="132"/>
      <c r="I50" s="132"/>
    </row>
    <row r="51" spans="1:9" ht="15.75" hidden="1" x14ac:dyDescent="0.2">
      <c r="A51" s="113"/>
      <c r="B51" s="114"/>
      <c r="D51" s="115"/>
      <c r="E51" s="115"/>
      <c r="F51" s="115"/>
      <c r="G51" s="115"/>
      <c r="H51" s="115"/>
      <c r="I51" s="115"/>
    </row>
    <row r="52" spans="1:9" ht="3.6" customHeight="1" x14ac:dyDescent="0.25">
      <c r="B52" s="116"/>
      <c r="G52" s="116"/>
    </row>
    <row r="53" spans="1:9" ht="18.600000000000001" customHeight="1" x14ac:dyDescent="0.25">
      <c r="B53" s="116" t="s">
        <v>0</v>
      </c>
      <c r="C53" s="116"/>
      <c r="D53" s="116"/>
      <c r="E53" s="116"/>
      <c r="F53" s="116"/>
      <c r="G53" s="116" t="s">
        <v>1</v>
      </c>
    </row>
    <row r="54" spans="1:9" x14ac:dyDescent="0.2">
      <c r="B54" s="44" t="s">
        <v>2</v>
      </c>
    </row>
    <row r="55" spans="1:9" x14ac:dyDescent="0.2">
      <c r="B55" s="44" t="s">
        <v>89</v>
      </c>
    </row>
    <row r="56" spans="1:9" hidden="1" x14ac:dyDescent="0.2"/>
    <row r="67" spans="4:7" ht="15.75" x14ac:dyDescent="0.25">
      <c r="D67" s="53"/>
      <c r="E67" s="53"/>
      <c r="F67" s="53"/>
      <c r="G67" s="53"/>
    </row>
  </sheetData>
  <mergeCells count="31">
    <mergeCell ref="A18:A23"/>
    <mergeCell ref="B18:C23"/>
    <mergeCell ref="D18:I18"/>
    <mergeCell ref="D19:E22"/>
    <mergeCell ref="F19:G22"/>
    <mergeCell ref="H19:I22"/>
    <mergeCell ref="N43:O43"/>
    <mergeCell ref="P43:Q43"/>
    <mergeCell ref="R43:S43"/>
    <mergeCell ref="B34:C34"/>
    <mergeCell ref="A37:A38"/>
    <mergeCell ref="C37:C38"/>
    <mergeCell ref="B41:C41"/>
    <mergeCell ref="B42:C42"/>
    <mergeCell ref="B43:C43"/>
    <mergeCell ref="B47:I47"/>
    <mergeCell ref="B48:I48"/>
    <mergeCell ref="B49:I49"/>
    <mergeCell ref="B50:I50"/>
    <mergeCell ref="F5:I8"/>
    <mergeCell ref="A14:I16"/>
    <mergeCell ref="F10:I10"/>
    <mergeCell ref="D43:E43"/>
    <mergeCell ref="F43:G43"/>
    <mergeCell ref="H43:I43"/>
    <mergeCell ref="A24:I24"/>
    <mergeCell ref="B26:C26"/>
    <mergeCell ref="B27:C27"/>
    <mergeCell ref="B28:C28"/>
    <mergeCell ref="A30:I30"/>
    <mergeCell ref="B32:C32"/>
  </mergeCells>
  <pageMargins left="0.51181102362204722" right="0" top="0" bottom="0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0" workbookViewId="0">
      <selection activeCell="A22" sqref="A22:C22"/>
    </sheetView>
  </sheetViews>
  <sheetFormatPr defaultColWidth="20.7109375" defaultRowHeight="30" customHeight="1" x14ac:dyDescent="0.25"/>
  <cols>
    <col min="1" max="1" width="34.28515625" style="117" customWidth="1"/>
    <col min="2" max="16384" width="20.7109375" style="117"/>
  </cols>
  <sheetData>
    <row r="1" spans="1:3" ht="30" customHeight="1" thickBot="1" x14ac:dyDescent="0.3"/>
    <row r="2" spans="1:3" ht="30" customHeight="1" x14ac:dyDescent="0.25">
      <c r="A2" s="192" t="s">
        <v>92</v>
      </c>
      <c r="B2" s="190" t="s">
        <v>97</v>
      </c>
      <c r="C2" s="191"/>
    </row>
    <row r="3" spans="1:3" ht="30" customHeight="1" x14ac:dyDescent="0.25">
      <c r="A3" s="193"/>
      <c r="B3" s="118" t="s">
        <v>93</v>
      </c>
      <c r="C3" s="119" t="s">
        <v>94</v>
      </c>
    </row>
    <row r="4" spans="1:3" ht="30" customHeight="1" x14ac:dyDescent="0.25">
      <c r="A4" s="181" t="s">
        <v>102</v>
      </c>
      <c r="B4" s="182"/>
      <c r="C4" s="183"/>
    </row>
    <row r="5" spans="1:3" ht="30" customHeight="1" x14ac:dyDescent="0.25">
      <c r="A5" s="120" t="s">
        <v>117</v>
      </c>
      <c r="B5" s="125">
        <v>12700</v>
      </c>
      <c r="C5" s="122">
        <v>10800</v>
      </c>
    </row>
    <row r="6" spans="1:3" ht="30" customHeight="1" x14ac:dyDescent="0.25">
      <c r="A6" s="120" t="s">
        <v>116</v>
      </c>
      <c r="B6" s="125">
        <v>10700</v>
      </c>
      <c r="C6" s="122">
        <v>9000</v>
      </c>
    </row>
    <row r="7" spans="1:3" ht="30" customHeight="1" x14ac:dyDescent="0.25">
      <c r="A7" s="120" t="s">
        <v>115</v>
      </c>
      <c r="B7" s="125">
        <v>10700</v>
      </c>
      <c r="C7" s="122">
        <v>9000</v>
      </c>
    </row>
    <row r="8" spans="1:3" ht="30" customHeight="1" x14ac:dyDescent="0.25">
      <c r="A8" s="181" t="s">
        <v>103</v>
      </c>
      <c r="B8" s="182"/>
      <c r="C8" s="183"/>
    </row>
    <row r="9" spans="1:3" ht="30" customHeight="1" x14ac:dyDescent="0.25">
      <c r="A9" s="120" t="s">
        <v>114</v>
      </c>
      <c r="B9" s="125">
        <v>10500</v>
      </c>
      <c r="C9" s="122">
        <v>8800</v>
      </c>
    </row>
    <row r="10" spans="1:3" ht="30" customHeight="1" x14ac:dyDescent="0.25">
      <c r="A10" s="181" t="s">
        <v>104</v>
      </c>
      <c r="B10" s="182"/>
      <c r="C10" s="183"/>
    </row>
    <row r="11" spans="1:3" ht="30" customHeight="1" x14ac:dyDescent="0.25">
      <c r="A11" s="120" t="s">
        <v>113</v>
      </c>
      <c r="B11" s="125">
        <v>9700</v>
      </c>
      <c r="C11" s="122">
        <v>7700</v>
      </c>
    </row>
    <row r="12" spans="1:3" ht="30" customHeight="1" x14ac:dyDescent="0.25">
      <c r="A12" s="120" t="s">
        <v>112</v>
      </c>
      <c r="B12" s="125">
        <v>9700</v>
      </c>
      <c r="C12" s="122">
        <v>7700</v>
      </c>
    </row>
    <row r="13" spans="1:3" ht="30" customHeight="1" x14ac:dyDescent="0.25">
      <c r="A13" s="120" t="s">
        <v>111</v>
      </c>
      <c r="B13" s="125">
        <v>9100</v>
      </c>
      <c r="C13" s="122">
        <v>7100</v>
      </c>
    </row>
    <row r="14" spans="1:3" ht="30" customHeight="1" x14ac:dyDescent="0.25">
      <c r="A14" s="126" t="s">
        <v>110</v>
      </c>
      <c r="B14" s="125">
        <v>8500</v>
      </c>
      <c r="C14" s="122">
        <v>6600</v>
      </c>
    </row>
    <row r="15" spans="1:3" ht="30" customHeight="1" x14ac:dyDescent="0.25">
      <c r="A15" s="126" t="s">
        <v>109</v>
      </c>
      <c r="B15" s="125">
        <v>8000</v>
      </c>
      <c r="C15" s="122">
        <v>6100</v>
      </c>
    </row>
    <row r="16" spans="1:3" ht="30" customHeight="1" x14ac:dyDescent="0.25">
      <c r="A16" s="126" t="s">
        <v>108</v>
      </c>
      <c r="B16" s="125"/>
      <c r="C16" s="122">
        <v>5400</v>
      </c>
    </row>
    <row r="17" spans="1:3" ht="30" customHeight="1" x14ac:dyDescent="0.25">
      <c r="A17" s="181" t="s">
        <v>105</v>
      </c>
      <c r="B17" s="182"/>
      <c r="C17" s="183"/>
    </row>
    <row r="18" spans="1:3" ht="30" customHeight="1" x14ac:dyDescent="0.25">
      <c r="A18" s="120" t="s">
        <v>106</v>
      </c>
      <c r="B18" s="184" t="s">
        <v>101</v>
      </c>
      <c r="C18" s="178"/>
    </row>
    <row r="19" spans="1:3" ht="30" customHeight="1" x14ac:dyDescent="0.25">
      <c r="A19" s="120" t="s">
        <v>96</v>
      </c>
      <c r="B19" s="184">
        <v>800</v>
      </c>
      <c r="C19" s="178"/>
    </row>
    <row r="20" spans="1:3" ht="30" customHeight="1" x14ac:dyDescent="0.25">
      <c r="A20" s="120" t="s">
        <v>100</v>
      </c>
      <c r="B20" s="177">
        <v>2400</v>
      </c>
      <c r="C20" s="178"/>
    </row>
    <row r="21" spans="1:3" ht="30" customHeight="1" x14ac:dyDescent="0.25">
      <c r="A21" s="123" t="s">
        <v>95</v>
      </c>
      <c r="B21" s="177">
        <v>3400</v>
      </c>
      <c r="C21" s="178"/>
    </row>
    <row r="22" spans="1:3" ht="30" customHeight="1" x14ac:dyDescent="0.25">
      <c r="A22" s="185" t="s">
        <v>119</v>
      </c>
      <c r="B22" s="186"/>
      <c r="C22" s="187"/>
    </row>
    <row r="23" spans="1:3" ht="30" customHeight="1" x14ac:dyDescent="0.25">
      <c r="A23" s="123" t="s">
        <v>118</v>
      </c>
      <c r="B23" s="188">
        <v>1000</v>
      </c>
      <c r="C23" s="189"/>
    </row>
    <row r="24" spans="1:3" ht="30" customHeight="1" x14ac:dyDescent="0.25">
      <c r="A24" s="181" t="s">
        <v>107</v>
      </c>
      <c r="B24" s="182"/>
      <c r="C24" s="183"/>
    </row>
    <row r="25" spans="1:3" ht="30" customHeight="1" x14ac:dyDescent="0.25">
      <c r="A25" s="123" t="s">
        <v>98</v>
      </c>
      <c r="B25" s="177">
        <v>2900</v>
      </c>
      <c r="C25" s="178"/>
    </row>
    <row r="26" spans="1:3" ht="30" customHeight="1" thickBot="1" x14ac:dyDescent="0.3">
      <c r="A26" s="124" t="s">
        <v>99</v>
      </c>
      <c r="B26" s="179">
        <v>1750</v>
      </c>
      <c r="C26" s="180"/>
    </row>
  </sheetData>
  <mergeCells count="15">
    <mergeCell ref="B26:C26"/>
    <mergeCell ref="B18:C18"/>
    <mergeCell ref="B19:C19"/>
    <mergeCell ref="B20:C20"/>
    <mergeCell ref="B21:C21"/>
    <mergeCell ref="A24:C24"/>
    <mergeCell ref="B25:C25"/>
    <mergeCell ref="A22:C22"/>
    <mergeCell ref="B23:C23"/>
    <mergeCell ref="A17:C17"/>
    <mergeCell ref="A2:A3"/>
    <mergeCell ref="B2:C2"/>
    <mergeCell ref="A4:C4"/>
    <mergeCell ref="A8:C8"/>
    <mergeCell ref="A10:C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7" workbookViewId="0">
      <selection activeCell="A22" sqref="A22:C22"/>
    </sheetView>
  </sheetViews>
  <sheetFormatPr defaultColWidth="20.7109375" defaultRowHeight="30" customHeight="1" x14ac:dyDescent="0.25"/>
  <cols>
    <col min="1" max="1" width="34.28515625" style="117" customWidth="1"/>
    <col min="2" max="16384" width="20.7109375" style="117"/>
  </cols>
  <sheetData>
    <row r="1" spans="1:3" ht="30" customHeight="1" thickBot="1" x14ac:dyDescent="0.3"/>
    <row r="2" spans="1:3" ht="30" customHeight="1" x14ac:dyDescent="0.25">
      <c r="A2" s="192" t="s">
        <v>92</v>
      </c>
      <c r="B2" s="190" t="s">
        <v>97</v>
      </c>
      <c r="C2" s="191"/>
    </row>
    <row r="3" spans="1:3" ht="30" customHeight="1" x14ac:dyDescent="0.25">
      <c r="A3" s="193"/>
      <c r="B3" s="118" t="s">
        <v>93</v>
      </c>
      <c r="C3" s="119" t="s">
        <v>94</v>
      </c>
    </row>
    <row r="4" spans="1:3" ht="30" customHeight="1" x14ac:dyDescent="0.25">
      <c r="A4" s="181" t="s">
        <v>102</v>
      </c>
      <c r="B4" s="182"/>
      <c r="C4" s="183"/>
    </row>
    <row r="5" spans="1:3" ht="30" customHeight="1" x14ac:dyDescent="0.25">
      <c r="A5" s="120" t="s">
        <v>117</v>
      </c>
      <c r="B5" s="121">
        <v>14200</v>
      </c>
      <c r="C5" s="122">
        <v>12500</v>
      </c>
    </row>
    <row r="6" spans="1:3" ht="30" customHeight="1" x14ac:dyDescent="0.25">
      <c r="A6" s="120" t="s">
        <v>116</v>
      </c>
      <c r="B6" s="125">
        <v>12300</v>
      </c>
      <c r="C6" s="122">
        <v>10300</v>
      </c>
    </row>
    <row r="7" spans="1:3" ht="30" customHeight="1" x14ac:dyDescent="0.25">
      <c r="A7" s="120" t="s">
        <v>115</v>
      </c>
      <c r="B7" s="121">
        <v>12300</v>
      </c>
      <c r="C7" s="122">
        <v>10300</v>
      </c>
    </row>
    <row r="8" spans="1:3" ht="30" customHeight="1" x14ac:dyDescent="0.25">
      <c r="A8" s="181" t="s">
        <v>103</v>
      </c>
      <c r="B8" s="182"/>
      <c r="C8" s="183"/>
    </row>
    <row r="9" spans="1:3" ht="30" customHeight="1" x14ac:dyDescent="0.25">
      <c r="A9" s="120" t="s">
        <v>114</v>
      </c>
      <c r="B9" s="121">
        <v>11900</v>
      </c>
      <c r="C9" s="122">
        <v>10000</v>
      </c>
    </row>
    <row r="10" spans="1:3" ht="30" customHeight="1" x14ac:dyDescent="0.25">
      <c r="A10" s="181" t="s">
        <v>104</v>
      </c>
      <c r="B10" s="182"/>
      <c r="C10" s="183"/>
    </row>
    <row r="11" spans="1:3" ht="30" customHeight="1" x14ac:dyDescent="0.25">
      <c r="A11" s="120" t="s">
        <v>113</v>
      </c>
      <c r="B11" s="125">
        <v>11100</v>
      </c>
      <c r="C11" s="122">
        <v>9200</v>
      </c>
    </row>
    <row r="12" spans="1:3" ht="30" customHeight="1" x14ac:dyDescent="0.25">
      <c r="A12" s="120" t="s">
        <v>112</v>
      </c>
      <c r="B12" s="121">
        <v>11100</v>
      </c>
      <c r="C12" s="122">
        <v>9200</v>
      </c>
    </row>
    <row r="13" spans="1:3" ht="30" customHeight="1" x14ac:dyDescent="0.25">
      <c r="A13" s="120" t="s">
        <v>111</v>
      </c>
      <c r="B13" s="121">
        <v>10500</v>
      </c>
      <c r="C13" s="122">
        <v>8600</v>
      </c>
    </row>
    <row r="14" spans="1:3" ht="30" customHeight="1" x14ac:dyDescent="0.25">
      <c r="A14" s="126" t="s">
        <v>110</v>
      </c>
      <c r="B14" s="121">
        <v>9800</v>
      </c>
      <c r="C14" s="122">
        <v>7800</v>
      </c>
    </row>
    <row r="15" spans="1:3" ht="30" customHeight="1" x14ac:dyDescent="0.25">
      <c r="A15" s="126" t="s">
        <v>109</v>
      </c>
      <c r="B15" s="121">
        <v>9400</v>
      </c>
      <c r="C15" s="122">
        <v>7500</v>
      </c>
    </row>
    <row r="16" spans="1:3" ht="30" customHeight="1" x14ac:dyDescent="0.25">
      <c r="A16" s="126" t="s">
        <v>108</v>
      </c>
      <c r="B16" s="121"/>
      <c r="C16" s="122">
        <v>6400</v>
      </c>
    </row>
    <row r="17" spans="1:3" ht="30" customHeight="1" x14ac:dyDescent="0.25">
      <c r="A17" s="181" t="s">
        <v>105</v>
      </c>
      <c r="B17" s="182"/>
      <c r="C17" s="183"/>
    </row>
    <row r="18" spans="1:3" ht="30" customHeight="1" x14ac:dyDescent="0.25">
      <c r="A18" s="120" t="s">
        <v>106</v>
      </c>
      <c r="B18" s="184" t="s">
        <v>101</v>
      </c>
      <c r="C18" s="178"/>
    </row>
    <row r="19" spans="1:3" ht="30" customHeight="1" x14ac:dyDescent="0.25">
      <c r="A19" s="120" t="s">
        <v>96</v>
      </c>
      <c r="B19" s="184">
        <v>800</v>
      </c>
      <c r="C19" s="178"/>
    </row>
    <row r="20" spans="1:3" ht="30" customHeight="1" x14ac:dyDescent="0.25">
      <c r="A20" s="120" t="s">
        <v>100</v>
      </c>
      <c r="B20" s="177">
        <v>2400</v>
      </c>
      <c r="C20" s="178"/>
    </row>
    <row r="21" spans="1:3" ht="30" customHeight="1" x14ac:dyDescent="0.25">
      <c r="A21" s="123" t="s">
        <v>95</v>
      </c>
      <c r="B21" s="177">
        <v>3400</v>
      </c>
      <c r="C21" s="178"/>
    </row>
    <row r="22" spans="1:3" ht="30" customHeight="1" x14ac:dyDescent="0.25">
      <c r="A22" s="185" t="s">
        <v>119</v>
      </c>
      <c r="B22" s="186"/>
      <c r="C22" s="187"/>
    </row>
    <row r="23" spans="1:3" ht="30" customHeight="1" x14ac:dyDescent="0.25">
      <c r="A23" s="123" t="s">
        <v>118</v>
      </c>
      <c r="B23" s="188">
        <v>1000</v>
      </c>
      <c r="C23" s="189"/>
    </row>
    <row r="24" spans="1:3" ht="30" customHeight="1" x14ac:dyDescent="0.25">
      <c r="A24" s="181" t="s">
        <v>107</v>
      </c>
      <c r="B24" s="182"/>
      <c r="C24" s="183"/>
    </row>
    <row r="25" spans="1:3" ht="30" customHeight="1" x14ac:dyDescent="0.25">
      <c r="A25" s="123" t="s">
        <v>98</v>
      </c>
      <c r="B25" s="177">
        <v>2900</v>
      </c>
      <c r="C25" s="178"/>
    </row>
    <row r="26" spans="1:3" ht="30" customHeight="1" thickBot="1" x14ac:dyDescent="0.3">
      <c r="A26" s="124" t="s">
        <v>99</v>
      </c>
      <c r="B26" s="179">
        <v>1750</v>
      </c>
      <c r="C26" s="180"/>
    </row>
  </sheetData>
  <mergeCells count="15">
    <mergeCell ref="A8:C8"/>
    <mergeCell ref="A4:C4"/>
    <mergeCell ref="B2:C2"/>
    <mergeCell ref="A2:A3"/>
    <mergeCell ref="A17:C17"/>
    <mergeCell ref="B25:C25"/>
    <mergeCell ref="B26:C26"/>
    <mergeCell ref="A24:C24"/>
    <mergeCell ref="A10:C10"/>
    <mergeCell ref="B19:C19"/>
    <mergeCell ref="B18:C18"/>
    <mergeCell ref="B20:C20"/>
    <mergeCell ref="B21:C21"/>
    <mergeCell ref="A22:C22"/>
    <mergeCell ref="B23:C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0" workbookViewId="0">
      <selection activeCell="A22" sqref="A22:C22"/>
    </sheetView>
  </sheetViews>
  <sheetFormatPr defaultColWidth="20.7109375" defaultRowHeight="30" customHeight="1" x14ac:dyDescent="0.25"/>
  <cols>
    <col min="1" max="1" width="34.28515625" style="117" customWidth="1"/>
    <col min="2" max="16384" width="20.7109375" style="117"/>
  </cols>
  <sheetData>
    <row r="1" spans="1:3" ht="30" customHeight="1" thickBot="1" x14ac:dyDescent="0.3"/>
    <row r="2" spans="1:3" ht="30" customHeight="1" x14ac:dyDescent="0.25">
      <c r="A2" s="192" t="s">
        <v>92</v>
      </c>
      <c r="B2" s="190" t="s">
        <v>97</v>
      </c>
      <c r="C2" s="191"/>
    </row>
    <row r="3" spans="1:3" ht="30" customHeight="1" x14ac:dyDescent="0.25">
      <c r="A3" s="193"/>
      <c r="B3" s="118" t="s">
        <v>93</v>
      </c>
      <c r="C3" s="119" t="s">
        <v>94</v>
      </c>
    </row>
    <row r="4" spans="1:3" ht="30" customHeight="1" x14ac:dyDescent="0.25">
      <c r="A4" s="181" t="s">
        <v>102</v>
      </c>
      <c r="B4" s="182"/>
      <c r="C4" s="183"/>
    </row>
    <row r="5" spans="1:3" ht="30" customHeight="1" x14ac:dyDescent="0.25">
      <c r="A5" s="120" t="s">
        <v>117</v>
      </c>
      <c r="B5" s="125">
        <v>12900</v>
      </c>
      <c r="C5" s="122">
        <v>11100</v>
      </c>
    </row>
    <row r="6" spans="1:3" ht="30" customHeight="1" x14ac:dyDescent="0.25">
      <c r="A6" s="120" t="s">
        <v>116</v>
      </c>
      <c r="B6" s="125">
        <v>11250</v>
      </c>
      <c r="C6" s="122">
        <v>9550</v>
      </c>
    </row>
    <row r="7" spans="1:3" ht="30" customHeight="1" x14ac:dyDescent="0.25">
      <c r="A7" s="120" t="s">
        <v>115</v>
      </c>
      <c r="B7" s="125">
        <v>11250</v>
      </c>
      <c r="C7" s="122">
        <v>9550</v>
      </c>
    </row>
    <row r="8" spans="1:3" ht="30" customHeight="1" x14ac:dyDescent="0.25">
      <c r="A8" s="181" t="s">
        <v>103</v>
      </c>
      <c r="B8" s="182"/>
      <c r="C8" s="183"/>
    </row>
    <row r="9" spans="1:3" ht="30" customHeight="1" x14ac:dyDescent="0.25">
      <c r="A9" s="120" t="s">
        <v>114</v>
      </c>
      <c r="B9" s="125">
        <v>10900</v>
      </c>
      <c r="C9" s="122">
        <v>9200</v>
      </c>
    </row>
    <row r="10" spans="1:3" ht="30" customHeight="1" x14ac:dyDescent="0.25">
      <c r="A10" s="181" t="s">
        <v>104</v>
      </c>
      <c r="B10" s="182"/>
      <c r="C10" s="183"/>
    </row>
    <row r="11" spans="1:3" ht="30" customHeight="1" x14ac:dyDescent="0.25">
      <c r="A11" s="120" t="s">
        <v>113</v>
      </c>
      <c r="B11" s="125">
        <v>10150</v>
      </c>
      <c r="C11" s="122">
        <v>8100</v>
      </c>
    </row>
    <row r="12" spans="1:3" ht="30" customHeight="1" x14ac:dyDescent="0.25">
      <c r="A12" s="120" t="s">
        <v>112</v>
      </c>
      <c r="B12" s="125">
        <v>10150</v>
      </c>
      <c r="C12" s="122">
        <v>8100</v>
      </c>
    </row>
    <row r="13" spans="1:3" ht="30" customHeight="1" x14ac:dyDescent="0.25">
      <c r="A13" s="120" t="s">
        <v>111</v>
      </c>
      <c r="B13" s="125">
        <v>9450</v>
      </c>
      <c r="C13" s="122">
        <v>7300</v>
      </c>
    </row>
    <row r="14" spans="1:3" ht="30" customHeight="1" x14ac:dyDescent="0.25">
      <c r="A14" s="126" t="s">
        <v>110</v>
      </c>
      <c r="B14" s="125">
        <v>8900</v>
      </c>
      <c r="C14" s="122">
        <v>6700</v>
      </c>
    </row>
    <row r="15" spans="1:3" ht="30" customHeight="1" x14ac:dyDescent="0.25">
      <c r="A15" s="126" t="s">
        <v>109</v>
      </c>
      <c r="B15" s="125">
        <v>8350</v>
      </c>
      <c r="C15" s="122">
        <v>6400</v>
      </c>
    </row>
    <row r="16" spans="1:3" ht="30" customHeight="1" x14ac:dyDescent="0.25">
      <c r="A16" s="126" t="s">
        <v>108</v>
      </c>
      <c r="B16" s="125"/>
      <c r="C16" s="122">
        <v>5500</v>
      </c>
    </row>
    <row r="17" spans="1:3" ht="30" customHeight="1" x14ac:dyDescent="0.25">
      <c r="A17" s="181" t="s">
        <v>105</v>
      </c>
      <c r="B17" s="182"/>
      <c r="C17" s="183"/>
    </row>
    <row r="18" spans="1:3" ht="30" customHeight="1" x14ac:dyDescent="0.25">
      <c r="A18" s="120" t="s">
        <v>106</v>
      </c>
      <c r="B18" s="184" t="s">
        <v>101</v>
      </c>
      <c r="C18" s="178"/>
    </row>
    <row r="19" spans="1:3" ht="30" customHeight="1" x14ac:dyDescent="0.25">
      <c r="A19" s="120" t="s">
        <v>96</v>
      </c>
      <c r="B19" s="184">
        <v>800</v>
      </c>
      <c r="C19" s="178"/>
    </row>
    <row r="20" spans="1:3" ht="30" customHeight="1" x14ac:dyDescent="0.25">
      <c r="A20" s="120" t="s">
        <v>100</v>
      </c>
      <c r="B20" s="177">
        <v>2400</v>
      </c>
      <c r="C20" s="178"/>
    </row>
    <row r="21" spans="1:3" ht="30" customHeight="1" x14ac:dyDescent="0.25">
      <c r="A21" s="123" t="s">
        <v>95</v>
      </c>
      <c r="B21" s="177">
        <v>3400</v>
      </c>
      <c r="C21" s="178"/>
    </row>
    <row r="22" spans="1:3" ht="30" customHeight="1" x14ac:dyDescent="0.25">
      <c r="A22" s="185" t="s">
        <v>119</v>
      </c>
      <c r="B22" s="186"/>
      <c r="C22" s="187"/>
    </row>
    <row r="23" spans="1:3" ht="30" customHeight="1" x14ac:dyDescent="0.25">
      <c r="A23" s="123" t="s">
        <v>118</v>
      </c>
      <c r="B23" s="188">
        <v>1000</v>
      </c>
      <c r="C23" s="189"/>
    </row>
    <row r="24" spans="1:3" ht="30" customHeight="1" x14ac:dyDescent="0.25">
      <c r="A24" s="181" t="s">
        <v>107</v>
      </c>
      <c r="B24" s="182"/>
      <c r="C24" s="183"/>
    </row>
    <row r="25" spans="1:3" ht="30" customHeight="1" x14ac:dyDescent="0.25">
      <c r="A25" s="123" t="s">
        <v>98</v>
      </c>
      <c r="B25" s="177">
        <v>2900</v>
      </c>
      <c r="C25" s="178"/>
    </row>
    <row r="26" spans="1:3" ht="30" customHeight="1" thickBot="1" x14ac:dyDescent="0.3">
      <c r="A26" s="124" t="s">
        <v>99</v>
      </c>
      <c r="B26" s="179">
        <v>1750</v>
      </c>
      <c r="C26" s="180"/>
    </row>
  </sheetData>
  <mergeCells count="15">
    <mergeCell ref="B26:C26"/>
    <mergeCell ref="B18:C18"/>
    <mergeCell ref="B19:C19"/>
    <mergeCell ref="B20:C20"/>
    <mergeCell ref="B21:C21"/>
    <mergeCell ref="A24:C24"/>
    <mergeCell ref="B25:C25"/>
    <mergeCell ref="A22:C22"/>
    <mergeCell ref="B23:C23"/>
    <mergeCell ref="A17:C17"/>
    <mergeCell ref="A2:A3"/>
    <mergeCell ref="B2:C2"/>
    <mergeCell ref="A4:C4"/>
    <mergeCell ref="A8:C8"/>
    <mergeCell ref="A10:C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0" workbookViewId="0">
      <selection activeCell="A22" sqref="A22:C22"/>
    </sheetView>
  </sheetViews>
  <sheetFormatPr defaultColWidth="20.7109375" defaultRowHeight="30" customHeight="1" x14ac:dyDescent="0.25"/>
  <cols>
    <col min="1" max="1" width="34.28515625" style="117" customWidth="1"/>
    <col min="2" max="16384" width="20.7109375" style="117"/>
  </cols>
  <sheetData>
    <row r="1" spans="1:3" ht="30" customHeight="1" thickBot="1" x14ac:dyDescent="0.3"/>
    <row r="2" spans="1:3" ht="30" customHeight="1" x14ac:dyDescent="0.25">
      <c r="A2" s="192" t="s">
        <v>92</v>
      </c>
      <c r="B2" s="190" t="s">
        <v>97</v>
      </c>
      <c r="C2" s="191"/>
    </row>
    <row r="3" spans="1:3" ht="30" customHeight="1" x14ac:dyDescent="0.25">
      <c r="A3" s="193"/>
      <c r="B3" s="118" t="s">
        <v>93</v>
      </c>
      <c r="C3" s="119" t="s">
        <v>94</v>
      </c>
    </row>
    <row r="4" spans="1:3" ht="30" customHeight="1" x14ac:dyDescent="0.25">
      <c r="A4" s="181" t="s">
        <v>102</v>
      </c>
      <c r="B4" s="182"/>
      <c r="C4" s="183"/>
    </row>
    <row r="5" spans="1:3" ht="30" customHeight="1" x14ac:dyDescent="0.25">
      <c r="A5" s="120" t="s">
        <v>117</v>
      </c>
      <c r="B5" s="125">
        <v>14400</v>
      </c>
      <c r="C5" s="122">
        <v>12600</v>
      </c>
    </row>
    <row r="6" spans="1:3" ht="30" customHeight="1" x14ac:dyDescent="0.25">
      <c r="A6" s="120" t="s">
        <v>116</v>
      </c>
      <c r="B6" s="125">
        <v>12500</v>
      </c>
      <c r="C6" s="122">
        <v>10500</v>
      </c>
    </row>
    <row r="7" spans="1:3" ht="30" customHeight="1" x14ac:dyDescent="0.25">
      <c r="A7" s="120" t="s">
        <v>115</v>
      </c>
      <c r="B7" s="125">
        <v>12500</v>
      </c>
      <c r="C7" s="122">
        <v>10500</v>
      </c>
    </row>
    <row r="8" spans="1:3" ht="30" customHeight="1" x14ac:dyDescent="0.25">
      <c r="A8" s="181" t="s">
        <v>103</v>
      </c>
      <c r="B8" s="182"/>
      <c r="C8" s="183"/>
    </row>
    <row r="9" spans="1:3" ht="30" customHeight="1" x14ac:dyDescent="0.25">
      <c r="A9" s="120" t="s">
        <v>114</v>
      </c>
      <c r="B9" s="125">
        <v>12200</v>
      </c>
      <c r="C9" s="122">
        <v>10300</v>
      </c>
    </row>
    <row r="10" spans="1:3" ht="30" customHeight="1" x14ac:dyDescent="0.25">
      <c r="A10" s="181" t="s">
        <v>104</v>
      </c>
      <c r="B10" s="182"/>
      <c r="C10" s="183"/>
    </row>
    <row r="11" spans="1:3" ht="30" customHeight="1" x14ac:dyDescent="0.25">
      <c r="A11" s="120" t="s">
        <v>113</v>
      </c>
      <c r="B11" s="125">
        <v>11400</v>
      </c>
      <c r="C11" s="122">
        <v>9500</v>
      </c>
    </row>
    <row r="12" spans="1:3" ht="30" customHeight="1" x14ac:dyDescent="0.25">
      <c r="A12" s="120" t="s">
        <v>112</v>
      </c>
      <c r="B12" s="125">
        <v>11400</v>
      </c>
      <c r="C12" s="122">
        <v>9500</v>
      </c>
    </row>
    <row r="13" spans="1:3" ht="30" customHeight="1" x14ac:dyDescent="0.25">
      <c r="A13" s="120" t="s">
        <v>111</v>
      </c>
      <c r="B13" s="125">
        <v>10900</v>
      </c>
      <c r="C13" s="122">
        <v>9000</v>
      </c>
    </row>
    <row r="14" spans="1:3" ht="30" customHeight="1" x14ac:dyDescent="0.25">
      <c r="A14" s="126" t="s">
        <v>110</v>
      </c>
      <c r="B14" s="125">
        <v>10100</v>
      </c>
      <c r="C14" s="122">
        <v>8050</v>
      </c>
    </row>
    <row r="15" spans="1:3" ht="30" customHeight="1" x14ac:dyDescent="0.25">
      <c r="A15" s="126" t="s">
        <v>109</v>
      </c>
      <c r="B15" s="125">
        <v>9700</v>
      </c>
      <c r="C15" s="122">
        <v>7650</v>
      </c>
    </row>
    <row r="16" spans="1:3" ht="30" customHeight="1" x14ac:dyDescent="0.25">
      <c r="A16" s="126" t="s">
        <v>108</v>
      </c>
      <c r="B16" s="125"/>
      <c r="C16" s="122">
        <v>6700</v>
      </c>
    </row>
    <row r="17" spans="1:3" ht="30" customHeight="1" x14ac:dyDescent="0.25">
      <c r="A17" s="181" t="s">
        <v>105</v>
      </c>
      <c r="B17" s="182"/>
      <c r="C17" s="183"/>
    </row>
    <row r="18" spans="1:3" ht="30" customHeight="1" x14ac:dyDescent="0.25">
      <c r="A18" s="120" t="s">
        <v>106</v>
      </c>
      <c r="B18" s="184" t="s">
        <v>101</v>
      </c>
      <c r="C18" s="178"/>
    </row>
    <row r="19" spans="1:3" ht="30" customHeight="1" x14ac:dyDescent="0.25">
      <c r="A19" s="120" t="s">
        <v>96</v>
      </c>
      <c r="B19" s="184">
        <v>800</v>
      </c>
      <c r="C19" s="178"/>
    </row>
    <row r="20" spans="1:3" ht="30" customHeight="1" x14ac:dyDescent="0.25">
      <c r="A20" s="120" t="s">
        <v>100</v>
      </c>
      <c r="B20" s="177">
        <v>2400</v>
      </c>
      <c r="C20" s="178"/>
    </row>
    <row r="21" spans="1:3" ht="30" customHeight="1" x14ac:dyDescent="0.25">
      <c r="A21" s="123" t="s">
        <v>95</v>
      </c>
      <c r="B21" s="177">
        <v>3400</v>
      </c>
      <c r="C21" s="178"/>
    </row>
    <row r="22" spans="1:3" ht="30" customHeight="1" x14ac:dyDescent="0.25">
      <c r="A22" s="185" t="s">
        <v>119</v>
      </c>
      <c r="B22" s="186"/>
      <c r="C22" s="187"/>
    </row>
    <row r="23" spans="1:3" ht="30" customHeight="1" x14ac:dyDescent="0.25">
      <c r="A23" s="123" t="s">
        <v>118</v>
      </c>
      <c r="B23" s="188">
        <v>1000</v>
      </c>
      <c r="C23" s="189"/>
    </row>
    <row r="24" spans="1:3" ht="30" customHeight="1" x14ac:dyDescent="0.25">
      <c r="A24" s="181" t="s">
        <v>107</v>
      </c>
      <c r="B24" s="182"/>
      <c r="C24" s="183"/>
    </row>
    <row r="25" spans="1:3" ht="30" customHeight="1" x14ac:dyDescent="0.25">
      <c r="A25" s="123" t="s">
        <v>98</v>
      </c>
      <c r="B25" s="177">
        <v>2900</v>
      </c>
      <c r="C25" s="178"/>
    </row>
    <row r="26" spans="1:3" ht="30" customHeight="1" thickBot="1" x14ac:dyDescent="0.3">
      <c r="A26" s="124" t="s">
        <v>99</v>
      </c>
      <c r="B26" s="179">
        <v>1750</v>
      </c>
      <c r="C26" s="180"/>
    </row>
  </sheetData>
  <mergeCells count="15">
    <mergeCell ref="B26:C26"/>
    <mergeCell ref="B18:C18"/>
    <mergeCell ref="B19:C19"/>
    <mergeCell ref="B20:C20"/>
    <mergeCell ref="B21:C21"/>
    <mergeCell ref="A24:C24"/>
    <mergeCell ref="B25:C25"/>
    <mergeCell ref="A22:C22"/>
    <mergeCell ref="B23:C23"/>
    <mergeCell ref="A17:C17"/>
    <mergeCell ref="A2:A3"/>
    <mergeCell ref="B2:C2"/>
    <mergeCell ref="A4:C4"/>
    <mergeCell ref="A8:C8"/>
    <mergeCell ref="A10:C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A10" workbookViewId="0">
      <selection activeCell="F24" sqref="F24"/>
    </sheetView>
  </sheetViews>
  <sheetFormatPr defaultColWidth="20.7109375" defaultRowHeight="30" customHeight="1" x14ac:dyDescent="0.25"/>
  <cols>
    <col min="1" max="1" width="34.28515625" style="117" customWidth="1"/>
    <col min="2" max="16384" width="20.7109375" style="117"/>
  </cols>
  <sheetData>
    <row r="1" spans="1:3" ht="30" customHeight="1" thickBot="1" x14ac:dyDescent="0.3"/>
    <row r="2" spans="1:3" ht="30" customHeight="1" x14ac:dyDescent="0.25">
      <c r="A2" s="192" t="s">
        <v>92</v>
      </c>
      <c r="B2" s="190" t="s">
        <v>97</v>
      </c>
      <c r="C2" s="191"/>
    </row>
    <row r="3" spans="1:3" ht="30" customHeight="1" x14ac:dyDescent="0.25">
      <c r="A3" s="193"/>
      <c r="B3" s="118" t="s">
        <v>93</v>
      </c>
      <c r="C3" s="119" t="s">
        <v>94</v>
      </c>
    </row>
    <row r="4" spans="1:3" ht="30" customHeight="1" x14ac:dyDescent="0.25">
      <c r="A4" s="181" t="s">
        <v>102</v>
      </c>
      <c r="B4" s="182"/>
      <c r="C4" s="183"/>
    </row>
    <row r="5" spans="1:3" ht="30" customHeight="1" x14ac:dyDescent="0.25">
      <c r="A5" s="120" t="s">
        <v>117</v>
      </c>
      <c r="B5" s="125">
        <v>13800</v>
      </c>
      <c r="C5" s="122">
        <v>12100</v>
      </c>
    </row>
    <row r="6" spans="1:3" ht="30" customHeight="1" x14ac:dyDescent="0.25">
      <c r="A6" s="120" t="s">
        <v>116</v>
      </c>
      <c r="B6" s="125">
        <v>11800</v>
      </c>
      <c r="C6" s="122">
        <v>10100</v>
      </c>
    </row>
    <row r="7" spans="1:3" ht="30" customHeight="1" x14ac:dyDescent="0.25">
      <c r="A7" s="120" t="s">
        <v>115</v>
      </c>
      <c r="B7" s="125">
        <v>11800</v>
      </c>
      <c r="C7" s="122">
        <v>10100</v>
      </c>
    </row>
    <row r="8" spans="1:3" ht="30" customHeight="1" x14ac:dyDescent="0.25">
      <c r="A8" s="181" t="s">
        <v>103</v>
      </c>
      <c r="B8" s="182"/>
      <c r="C8" s="183"/>
    </row>
    <row r="9" spans="1:3" ht="30" customHeight="1" x14ac:dyDescent="0.25">
      <c r="A9" s="120" t="s">
        <v>114</v>
      </c>
      <c r="B9" s="125">
        <v>11300</v>
      </c>
      <c r="C9" s="122">
        <v>9600</v>
      </c>
    </row>
    <row r="10" spans="1:3" ht="30" customHeight="1" x14ac:dyDescent="0.25">
      <c r="A10" s="181" t="s">
        <v>104</v>
      </c>
      <c r="B10" s="182"/>
      <c r="C10" s="183"/>
    </row>
    <row r="11" spans="1:3" ht="30" customHeight="1" x14ac:dyDescent="0.25">
      <c r="A11" s="120" t="s">
        <v>113</v>
      </c>
      <c r="B11" s="125">
        <v>10600</v>
      </c>
      <c r="C11" s="122">
        <v>8900</v>
      </c>
    </row>
    <row r="12" spans="1:3" ht="30" customHeight="1" x14ac:dyDescent="0.25">
      <c r="A12" s="120" t="s">
        <v>112</v>
      </c>
      <c r="B12" s="125">
        <v>10600</v>
      </c>
      <c r="C12" s="122">
        <v>8900</v>
      </c>
    </row>
    <row r="13" spans="1:3" ht="30" customHeight="1" x14ac:dyDescent="0.25">
      <c r="A13" s="120" t="s">
        <v>111</v>
      </c>
      <c r="B13" s="125">
        <v>9800</v>
      </c>
      <c r="C13" s="122">
        <v>7800</v>
      </c>
    </row>
    <row r="14" spans="1:3" ht="30" customHeight="1" x14ac:dyDescent="0.25">
      <c r="A14" s="126" t="s">
        <v>110</v>
      </c>
      <c r="B14" s="125">
        <v>9300</v>
      </c>
      <c r="C14" s="122">
        <v>7400</v>
      </c>
    </row>
    <row r="15" spans="1:3" ht="30" customHeight="1" x14ac:dyDescent="0.25">
      <c r="A15" s="126" t="s">
        <v>109</v>
      </c>
      <c r="B15" s="125">
        <v>8700</v>
      </c>
      <c r="C15" s="122">
        <v>6800</v>
      </c>
    </row>
    <row r="16" spans="1:3" ht="30" customHeight="1" x14ac:dyDescent="0.25">
      <c r="A16" s="126" t="s">
        <v>108</v>
      </c>
      <c r="B16" s="125"/>
      <c r="C16" s="122">
        <v>5900</v>
      </c>
    </row>
    <row r="17" spans="1:3" ht="30" customHeight="1" x14ac:dyDescent="0.25">
      <c r="A17" s="181" t="s">
        <v>105</v>
      </c>
      <c r="B17" s="182"/>
      <c r="C17" s="183"/>
    </row>
    <row r="18" spans="1:3" ht="30" customHeight="1" x14ac:dyDescent="0.25">
      <c r="A18" s="120" t="s">
        <v>106</v>
      </c>
      <c r="B18" s="184" t="s">
        <v>101</v>
      </c>
      <c r="C18" s="178"/>
    </row>
    <row r="19" spans="1:3" ht="30" customHeight="1" x14ac:dyDescent="0.25">
      <c r="A19" s="120" t="s">
        <v>96</v>
      </c>
      <c r="B19" s="184">
        <v>800</v>
      </c>
      <c r="C19" s="178"/>
    </row>
    <row r="20" spans="1:3" ht="30" customHeight="1" x14ac:dyDescent="0.25">
      <c r="A20" s="120" t="s">
        <v>100</v>
      </c>
      <c r="B20" s="177">
        <v>2400</v>
      </c>
      <c r="C20" s="178"/>
    </row>
    <row r="21" spans="1:3" ht="30" customHeight="1" x14ac:dyDescent="0.25">
      <c r="A21" s="123" t="s">
        <v>95</v>
      </c>
      <c r="B21" s="177">
        <v>3400</v>
      </c>
      <c r="C21" s="178"/>
    </row>
    <row r="22" spans="1:3" ht="30" customHeight="1" x14ac:dyDescent="0.25">
      <c r="A22" s="185" t="s">
        <v>119</v>
      </c>
      <c r="B22" s="186"/>
      <c r="C22" s="187"/>
    </row>
    <row r="23" spans="1:3" ht="30" customHeight="1" x14ac:dyDescent="0.25">
      <c r="A23" s="123" t="s">
        <v>118</v>
      </c>
      <c r="B23" s="188">
        <v>1000</v>
      </c>
      <c r="C23" s="189"/>
    </row>
    <row r="24" spans="1:3" ht="30" customHeight="1" x14ac:dyDescent="0.25">
      <c r="A24" s="181" t="s">
        <v>107</v>
      </c>
      <c r="B24" s="182"/>
      <c r="C24" s="183"/>
    </row>
    <row r="25" spans="1:3" ht="30" customHeight="1" x14ac:dyDescent="0.25">
      <c r="A25" s="123" t="s">
        <v>98</v>
      </c>
      <c r="B25" s="177">
        <v>2900</v>
      </c>
      <c r="C25" s="178"/>
    </row>
    <row r="26" spans="1:3" ht="30" customHeight="1" thickBot="1" x14ac:dyDescent="0.3">
      <c r="A26" s="124" t="s">
        <v>99</v>
      </c>
      <c r="B26" s="179">
        <v>1750</v>
      </c>
      <c r="C26" s="180"/>
    </row>
  </sheetData>
  <mergeCells count="15">
    <mergeCell ref="B26:C26"/>
    <mergeCell ref="B18:C18"/>
    <mergeCell ref="B19:C19"/>
    <mergeCell ref="B20:C20"/>
    <mergeCell ref="B21:C21"/>
    <mergeCell ref="A24:C24"/>
    <mergeCell ref="B25:C25"/>
    <mergeCell ref="B23:C23"/>
    <mergeCell ref="A22:C22"/>
    <mergeCell ref="A17:C17"/>
    <mergeCell ref="A2:A3"/>
    <mergeCell ref="B2:C2"/>
    <mergeCell ref="A4:C4"/>
    <mergeCell ref="A8:C8"/>
    <mergeCell ref="A10:C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0" workbookViewId="0">
      <selection activeCell="A22" sqref="A22:C22"/>
    </sheetView>
  </sheetViews>
  <sheetFormatPr defaultColWidth="20.7109375" defaultRowHeight="30" customHeight="1" x14ac:dyDescent="0.25"/>
  <cols>
    <col min="1" max="1" width="34.28515625" style="117" customWidth="1"/>
    <col min="2" max="16384" width="20.7109375" style="117"/>
  </cols>
  <sheetData>
    <row r="1" spans="1:3" ht="30" customHeight="1" thickBot="1" x14ac:dyDescent="0.3"/>
    <row r="2" spans="1:3" ht="30" customHeight="1" x14ac:dyDescent="0.25">
      <c r="A2" s="192" t="s">
        <v>92</v>
      </c>
      <c r="B2" s="190" t="s">
        <v>97</v>
      </c>
      <c r="C2" s="191"/>
    </row>
    <row r="3" spans="1:3" ht="30" customHeight="1" x14ac:dyDescent="0.25">
      <c r="A3" s="193"/>
      <c r="B3" s="118" t="s">
        <v>93</v>
      </c>
      <c r="C3" s="119" t="s">
        <v>94</v>
      </c>
    </row>
    <row r="4" spans="1:3" ht="30" customHeight="1" x14ac:dyDescent="0.25">
      <c r="A4" s="181" t="s">
        <v>102</v>
      </c>
      <c r="B4" s="182"/>
      <c r="C4" s="183"/>
    </row>
    <row r="5" spans="1:3" ht="30" customHeight="1" x14ac:dyDescent="0.25">
      <c r="A5" s="120" t="s">
        <v>117</v>
      </c>
      <c r="B5" s="125">
        <v>15400</v>
      </c>
      <c r="C5" s="122">
        <v>13400</v>
      </c>
    </row>
    <row r="6" spans="1:3" ht="30" customHeight="1" x14ac:dyDescent="0.25">
      <c r="A6" s="120" t="s">
        <v>116</v>
      </c>
      <c r="B6" s="125">
        <v>13200</v>
      </c>
      <c r="C6" s="122">
        <v>11400</v>
      </c>
    </row>
    <row r="7" spans="1:3" ht="30" customHeight="1" x14ac:dyDescent="0.25">
      <c r="A7" s="120" t="s">
        <v>115</v>
      </c>
      <c r="B7" s="125">
        <v>13200</v>
      </c>
      <c r="C7" s="122">
        <v>11400</v>
      </c>
    </row>
    <row r="8" spans="1:3" ht="30" customHeight="1" x14ac:dyDescent="0.25">
      <c r="A8" s="181" t="s">
        <v>103</v>
      </c>
      <c r="B8" s="182"/>
      <c r="C8" s="183"/>
    </row>
    <row r="9" spans="1:3" ht="30" customHeight="1" x14ac:dyDescent="0.25">
      <c r="A9" s="120" t="s">
        <v>114</v>
      </c>
      <c r="B9" s="125">
        <v>12500</v>
      </c>
      <c r="C9" s="122">
        <v>10800</v>
      </c>
    </row>
    <row r="10" spans="1:3" ht="30" customHeight="1" x14ac:dyDescent="0.25">
      <c r="A10" s="181" t="s">
        <v>104</v>
      </c>
      <c r="B10" s="182"/>
      <c r="C10" s="183"/>
    </row>
    <row r="11" spans="1:3" ht="30" customHeight="1" x14ac:dyDescent="0.25">
      <c r="A11" s="120" t="s">
        <v>113</v>
      </c>
      <c r="B11" s="125">
        <v>11700</v>
      </c>
      <c r="C11" s="122">
        <v>10000</v>
      </c>
    </row>
    <row r="12" spans="1:3" ht="30" customHeight="1" x14ac:dyDescent="0.25">
      <c r="A12" s="120" t="s">
        <v>112</v>
      </c>
      <c r="B12" s="125">
        <v>11700</v>
      </c>
      <c r="C12" s="122">
        <v>10000</v>
      </c>
    </row>
    <row r="13" spans="1:3" ht="30" customHeight="1" x14ac:dyDescent="0.25">
      <c r="A13" s="120" t="s">
        <v>111</v>
      </c>
      <c r="B13" s="125">
        <v>11300</v>
      </c>
      <c r="C13" s="122">
        <v>9500</v>
      </c>
    </row>
    <row r="14" spans="1:3" ht="30" customHeight="1" x14ac:dyDescent="0.25">
      <c r="A14" s="126" t="s">
        <v>110</v>
      </c>
      <c r="B14" s="125">
        <v>10400</v>
      </c>
      <c r="C14" s="122">
        <v>8300</v>
      </c>
    </row>
    <row r="15" spans="1:3" ht="30" customHeight="1" x14ac:dyDescent="0.25">
      <c r="A15" s="126" t="s">
        <v>109</v>
      </c>
      <c r="B15" s="125">
        <v>10000</v>
      </c>
      <c r="C15" s="122">
        <v>8000</v>
      </c>
    </row>
    <row r="16" spans="1:3" ht="30" customHeight="1" x14ac:dyDescent="0.25">
      <c r="A16" s="126" t="s">
        <v>108</v>
      </c>
      <c r="B16" s="125"/>
      <c r="C16" s="122">
        <v>7100</v>
      </c>
    </row>
    <row r="17" spans="1:3" ht="30" customHeight="1" x14ac:dyDescent="0.25">
      <c r="A17" s="181" t="s">
        <v>105</v>
      </c>
      <c r="B17" s="182"/>
      <c r="C17" s="183"/>
    </row>
    <row r="18" spans="1:3" ht="30" customHeight="1" x14ac:dyDescent="0.25">
      <c r="A18" s="120" t="s">
        <v>106</v>
      </c>
      <c r="B18" s="184" t="s">
        <v>101</v>
      </c>
      <c r="C18" s="178"/>
    </row>
    <row r="19" spans="1:3" ht="30" customHeight="1" x14ac:dyDescent="0.25">
      <c r="A19" s="120" t="s">
        <v>96</v>
      </c>
      <c r="B19" s="184">
        <v>800</v>
      </c>
      <c r="C19" s="178"/>
    </row>
    <row r="20" spans="1:3" ht="30" customHeight="1" x14ac:dyDescent="0.25">
      <c r="A20" s="120" t="s">
        <v>100</v>
      </c>
      <c r="B20" s="177">
        <v>2400</v>
      </c>
      <c r="C20" s="178"/>
    </row>
    <row r="21" spans="1:3" ht="30" customHeight="1" x14ac:dyDescent="0.25">
      <c r="A21" s="123" t="s">
        <v>95</v>
      </c>
      <c r="B21" s="177">
        <v>3400</v>
      </c>
      <c r="C21" s="178"/>
    </row>
    <row r="22" spans="1:3" ht="30" customHeight="1" x14ac:dyDescent="0.25">
      <c r="A22" s="185" t="s">
        <v>119</v>
      </c>
      <c r="B22" s="186"/>
      <c r="C22" s="187"/>
    </row>
    <row r="23" spans="1:3" ht="30" customHeight="1" x14ac:dyDescent="0.25">
      <c r="A23" s="123" t="s">
        <v>118</v>
      </c>
      <c r="B23" s="188">
        <v>1000</v>
      </c>
      <c r="C23" s="189"/>
    </row>
    <row r="24" spans="1:3" ht="30" customHeight="1" x14ac:dyDescent="0.25">
      <c r="A24" s="181" t="s">
        <v>107</v>
      </c>
      <c r="B24" s="182"/>
      <c r="C24" s="183"/>
    </row>
    <row r="25" spans="1:3" ht="30" customHeight="1" x14ac:dyDescent="0.25">
      <c r="A25" s="123" t="s">
        <v>98</v>
      </c>
      <c r="B25" s="177">
        <v>2900</v>
      </c>
      <c r="C25" s="178"/>
    </row>
    <row r="26" spans="1:3" ht="30" customHeight="1" thickBot="1" x14ac:dyDescent="0.3">
      <c r="A26" s="124" t="s">
        <v>99</v>
      </c>
      <c r="B26" s="179">
        <v>1750</v>
      </c>
      <c r="C26" s="180"/>
    </row>
  </sheetData>
  <mergeCells count="15">
    <mergeCell ref="B26:C26"/>
    <mergeCell ref="B18:C18"/>
    <mergeCell ref="B19:C19"/>
    <mergeCell ref="B20:C20"/>
    <mergeCell ref="B21:C21"/>
    <mergeCell ref="A24:C24"/>
    <mergeCell ref="B25:C25"/>
    <mergeCell ref="A22:C22"/>
    <mergeCell ref="B23:C23"/>
    <mergeCell ref="A17:C17"/>
    <mergeCell ref="A2:A3"/>
    <mergeCell ref="B2:C2"/>
    <mergeCell ref="A4:C4"/>
    <mergeCell ref="A8:C8"/>
    <mergeCell ref="A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расчет программ НГ, НК 2016</vt:lpstr>
      <vt:lpstr>расчет НГ, Рож., НК 2016</vt:lpstr>
      <vt:lpstr>утв. нг,нк, рожд.2016</vt:lpstr>
      <vt:lpstr>Низкий сезон будние</vt:lpstr>
      <vt:lpstr>Низкий сезон выходные</vt:lpstr>
      <vt:lpstr>средний сезон будние</vt:lpstr>
      <vt:lpstr>средний сезон выходные</vt:lpstr>
      <vt:lpstr>высокий сезон будние</vt:lpstr>
      <vt:lpstr>высокий сезон выходные</vt:lpstr>
      <vt:lpstr>'расчет программ НГ, НК 2016'!Область_печати</vt:lpstr>
      <vt:lpstr>'утв. нг,нк, рожд.2016'!Область_печати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Цветков</dc:creator>
  <cp:lastModifiedBy>Кирилл Цветков</cp:lastModifiedBy>
  <cp:lastPrinted>2017-10-06T10:16:31Z</cp:lastPrinted>
  <dcterms:created xsi:type="dcterms:W3CDTF">2015-03-17T05:00:02Z</dcterms:created>
  <dcterms:modified xsi:type="dcterms:W3CDTF">2020-10-16T08:54:10Z</dcterms:modified>
</cp:coreProperties>
</file>